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3220" yWindow="135" windowWidth="21405" windowHeight="11625" activeTab="1"/>
  </bookViews>
  <sheets>
    <sheet name="Comparativa planes" sheetId="1" r:id="rId1"/>
    <sheet name="Programa temporal" sheetId="6" r:id="rId2"/>
    <sheet name="Introducción de datos" sheetId="2" r:id="rId3"/>
    <sheet name="Adaptando al nuevo plan" sheetId="3" r:id="rId4"/>
  </sheets>
  <definedNames/>
  <calcPr calcId="162913"/>
</workbook>
</file>

<file path=xl/sharedStrings.xml><?xml version="1.0" encoding="utf-8"?>
<sst xmlns="http://schemas.openxmlformats.org/spreadsheetml/2006/main" count="925" uniqueCount="300">
  <si>
    <t>Módulo</t>
  </si>
  <si>
    <t>Materia</t>
  </si>
  <si>
    <t>ECTS</t>
  </si>
  <si>
    <t>Matemáticas</t>
  </si>
  <si>
    <t>Matemáticas I</t>
  </si>
  <si>
    <t>Matemáticas II</t>
  </si>
  <si>
    <t>Física</t>
  </si>
  <si>
    <t>Física I</t>
  </si>
  <si>
    <t>Física II</t>
  </si>
  <si>
    <t>Informática</t>
  </si>
  <si>
    <t>Programación</t>
  </si>
  <si>
    <t>Empresas</t>
  </si>
  <si>
    <t>FOGE</t>
  </si>
  <si>
    <t>Básica de</t>
  </si>
  <si>
    <t>Telecomunicación</t>
  </si>
  <si>
    <t>Básica</t>
  </si>
  <si>
    <t>Formación</t>
  </si>
  <si>
    <t>TCtos</t>
  </si>
  <si>
    <t>DispositivosE</t>
  </si>
  <si>
    <t>CircuitosE</t>
  </si>
  <si>
    <t>SeñalesSyS</t>
  </si>
  <si>
    <t>Teoría de la</t>
  </si>
  <si>
    <t>señal y</t>
  </si>
  <si>
    <t>comunicaciones</t>
  </si>
  <si>
    <t>Electrónica</t>
  </si>
  <si>
    <t>Acústica</t>
  </si>
  <si>
    <t>Telemática</t>
  </si>
  <si>
    <t>TCom</t>
  </si>
  <si>
    <t>Ondas</t>
  </si>
  <si>
    <t>FTx</t>
  </si>
  <si>
    <t>Común a</t>
  </si>
  <si>
    <t>la Rama de</t>
  </si>
  <si>
    <t>FSD</t>
  </si>
  <si>
    <t>SMicro</t>
  </si>
  <si>
    <t>SDP</t>
  </si>
  <si>
    <t>Energía</t>
  </si>
  <si>
    <t>FTel</t>
  </si>
  <si>
    <t>ArqTel</t>
  </si>
  <si>
    <t>RTel</t>
  </si>
  <si>
    <t>DSTel</t>
  </si>
  <si>
    <t>Transversal</t>
  </si>
  <si>
    <t>Complementaria</t>
  </si>
  <si>
    <t>FComp</t>
  </si>
  <si>
    <t>Matemáticas III</t>
  </si>
  <si>
    <t>PySA</t>
  </si>
  <si>
    <t>Política</t>
  </si>
  <si>
    <t>Inglés</t>
  </si>
  <si>
    <t>Mercado y LT</t>
  </si>
  <si>
    <t>Lengua extranjera</t>
  </si>
  <si>
    <t>FCO</t>
  </si>
  <si>
    <t>CEspaciales</t>
  </si>
  <si>
    <t>CMóviles</t>
  </si>
  <si>
    <t>Radar</t>
  </si>
  <si>
    <t>Tecnología</t>
  </si>
  <si>
    <t>Sistemas de</t>
  </si>
  <si>
    <t>Sistemas, redes</t>
  </si>
  <si>
    <t>y servicios de</t>
  </si>
  <si>
    <t>telecomunicación</t>
  </si>
  <si>
    <t>TDSC I</t>
  </si>
  <si>
    <t>TDSC II</t>
  </si>
  <si>
    <t>CDigitales</t>
  </si>
  <si>
    <t>Tratamiento de</t>
  </si>
  <si>
    <t xml:space="preserve">señal en </t>
  </si>
  <si>
    <t>Antenas</t>
  </si>
  <si>
    <t>Radiocom</t>
  </si>
  <si>
    <t>LineasTX</t>
  </si>
  <si>
    <t>SCO</t>
  </si>
  <si>
    <t>MicroW</t>
  </si>
  <si>
    <t>Acceso</t>
  </si>
  <si>
    <t>Medios,</t>
  </si>
  <si>
    <t>subsistemas y</t>
  </si>
  <si>
    <t>dispositivos de</t>
  </si>
  <si>
    <t>transmisión</t>
  </si>
  <si>
    <t>Conmutación</t>
  </si>
  <si>
    <t>RPA</t>
  </si>
  <si>
    <t>RPT</t>
  </si>
  <si>
    <t>RAL</t>
  </si>
  <si>
    <t>RCorp</t>
  </si>
  <si>
    <t>Análisis y</t>
  </si>
  <si>
    <t>diseño de</t>
  </si>
  <si>
    <t>redes</t>
  </si>
  <si>
    <t>STGI</t>
  </si>
  <si>
    <t>IST</t>
  </si>
  <si>
    <t>SMMedia</t>
  </si>
  <si>
    <t>APPTel</t>
  </si>
  <si>
    <t>CDatos</t>
  </si>
  <si>
    <t>Seguridad</t>
  </si>
  <si>
    <t>servicios</t>
  </si>
  <si>
    <t xml:space="preserve">Fiabilidad y </t>
  </si>
  <si>
    <t>seguridad R&amp;S</t>
  </si>
  <si>
    <t>Inst&amp;Qlty</t>
  </si>
  <si>
    <t>Específica de</t>
  </si>
  <si>
    <t>Sensores</t>
  </si>
  <si>
    <t>VLSI</t>
  </si>
  <si>
    <t>ApMicro</t>
  </si>
  <si>
    <t>SECom</t>
  </si>
  <si>
    <t>ISD</t>
  </si>
  <si>
    <t>EAnalogI</t>
  </si>
  <si>
    <t>Dispositivos,</t>
  </si>
  <si>
    <t>circuitos y</t>
  </si>
  <si>
    <t xml:space="preserve">sistemas </t>
  </si>
  <si>
    <t>electrónicos</t>
  </si>
  <si>
    <t>DSP</t>
  </si>
  <si>
    <t>MicroE-Amx</t>
  </si>
  <si>
    <t>DSE</t>
  </si>
  <si>
    <t>SCBio</t>
  </si>
  <si>
    <t>InstBioM</t>
  </si>
  <si>
    <t>electrónica</t>
  </si>
  <si>
    <t>aplicada</t>
  </si>
  <si>
    <t>Electrónicos</t>
  </si>
  <si>
    <t>Sistemas</t>
  </si>
  <si>
    <t>TDS</t>
  </si>
  <si>
    <t>TDI</t>
  </si>
  <si>
    <t>AAmbiental</t>
  </si>
  <si>
    <t>señal</t>
  </si>
  <si>
    <t>Ingeniería</t>
  </si>
  <si>
    <t>acústica</t>
  </si>
  <si>
    <t>AArquitec</t>
  </si>
  <si>
    <t>Difusión y dist</t>
  </si>
  <si>
    <t>señales</t>
  </si>
  <si>
    <t>audiovisuales</t>
  </si>
  <si>
    <t>DSAudioV</t>
  </si>
  <si>
    <t>DMMedia</t>
  </si>
  <si>
    <t>PIAudioV</t>
  </si>
  <si>
    <t>Sonido e</t>
  </si>
  <si>
    <t>Imagen</t>
  </si>
  <si>
    <t>Señales y</t>
  </si>
  <si>
    <t>sistemas</t>
  </si>
  <si>
    <t>EqSAudio</t>
  </si>
  <si>
    <t>TDA</t>
  </si>
  <si>
    <t>PAudioV</t>
  </si>
  <si>
    <t>TFG</t>
  </si>
  <si>
    <t>Total</t>
  </si>
  <si>
    <t>Optativo</t>
  </si>
  <si>
    <t>Optativa</t>
  </si>
  <si>
    <t>señal,</t>
  </si>
  <si>
    <t>y acústica</t>
  </si>
  <si>
    <t>Tecnológica</t>
  </si>
  <si>
    <t xml:space="preserve">Común y </t>
  </si>
  <si>
    <t>COCOs</t>
  </si>
  <si>
    <t>CMMedia</t>
  </si>
  <si>
    <t>TDSC</t>
  </si>
  <si>
    <t>Telemáticos</t>
  </si>
  <si>
    <t>Audiovisuales</t>
  </si>
  <si>
    <t>Optativo 24</t>
  </si>
  <si>
    <t>TFG 12</t>
  </si>
  <si>
    <t>¿Aprobada?</t>
  </si>
  <si>
    <t>Disp. Electrónicos</t>
  </si>
  <si>
    <t>Probabilidad y S. A.</t>
  </si>
  <si>
    <t>Ctos. Electrónicos</t>
  </si>
  <si>
    <t>Señales y Sistemas</t>
  </si>
  <si>
    <t>Arquitecturas Telem.</t>
  </si>
  <si>
    <t>Fund. S. Digitales</t>
  </si>
  <si>
    <t>Redes Telemáticas</t>
  </si>
  <si>
    <t>Rad. y prop. Ondas</t>
  </si>
  <si>
    <t>Teoría Comunicación</t>
  </si>
  <si>
    <t>S. Microprocesadores</t>
  </si>
  <si>
    <t>S. Digitales Program.</t>
  </si>
  <si>
    <t>3er curso, obligatorias</t>
  </si>
  <si>
    <t>Tª de Circuitos</t>
  </si>
  <si>
    <t>F. Computadores</t>
  </si>
  <si>
    <t>F. Org. y G. Empresas</t>
  </si>
  <si>
    <t>F. Telemática</t>
  </si>
  <si>
    <t>1er curso</t>
  </si>
  <si>
    <t>2º curso</t>
  </si>
  <si>
    <t>F. Transmisión</t>
  </si>
  <si>
    <t>Conv. y proc. Energía</t>
  </si>
  <si>
    <t>Diseño Serv. Telem.</t>
  </si>
  <si>
    <t>Inglés (B2)</t>
  </si>
  <si>
    <t>Política y  norm. de T.</t>
  </si>
  <si>
    <t>Sistemas de Telecomunicación</t>
  </si>
  <si>
    <t>TDS Comm. I</t>
  </si>
  <si>
    <t>F. Comm. Ópticas</t>
  </si>
  <si>
    <t>Lineas Transmisión</t>
  </si>
  <si>
    <t>Radiocomunicaciones</t>
  </si>
  <si>
    <t>TDS Comm. II</t>
  </si>
  <si>
    <t>Comm. Digitales</t>
  </si>
  <si>
    <t>Comm. Espaciales</t>
  </si>
  <si>
    <t>Comm. Móviles</t>
  </si>
  <si>
    <t>Microondas</t>
  </si>
  <si>
    <t>S. Comm. Ópticas</t>
  </si>
  <si>
    <t>Radiodeterminación</t>
  </si>
  <si>
    <t>T.S. Redes de acceso</t>
  </si>
  <si>
    <t>Comm. Datos</t>
  </si>
  <si>
    <t>Redes área local</t>
  </si>
  <si>
    <t>Redes públicas acceso</t>
  </si>
  <si>
    <t>Ing. Sist. Telemáticos</t>
  </si>
  <si>
    <t>Redes corporativas</t>
  </si>
  <si>
    <t>Redes públicas trans.</t>
  </si>
  <si>
    <t>Aplicaciones Tel.</t>
  </si>
  <si>
    <t>S. Multimedia</t>
  </si>
  <si>
    <t>Sistemas Electrónicos</t>
  </si>
  <si>
    <t>E. Analog. Integrada</t>
  </si>
  <si>
    <t>Instrum. y calidad</t>
  </si>
  <si>
    <t>App. Microcontrolad.</t>
  </si>
  <si>
    <t>Int. Sist. Digitales</t>
  </si>
  <si>
    <t xml:space="preserve">Sist. Elec. Comm. </t>
  </si>
  <si>
    <t>MicroElec-AnaMix</t>
  </si>
  <si>
    <t>Inst. Biomédica</t>
  </si>
  <si>
    <t>S.Complex.Bioinsp.</t>
  </si>
  <si>
    <t>Sonido e Imagen</t>
  </si>
  <si>
    <t>Proc.Dig.Señ. DSP</t>
  </si>
  <si>
    <t>Acúst.Ambiental</t>
  </si>
  <si>
    <t>T.Dig. Señales</t>
  </si>
  <si>
    <t>Acúst.Arquitectónica</t>
  </si>
  <si>
    <t>Equip.Sist. Audio</t>
  </si>
  <si>
    <t>Tratamiento Imágenes</t>
  </si>
  <si>
    <t>Dif.Tel. Multimedia</t>
  </si>
  <si>
    <t>Dist.Señ.Audiovisuales</t>
  </si>
  <si>
    <t>Sistemas de Vídeo</t>
  </si>
  <si>
    <t>T. Digital Audio</t>
  </si>
  <si>
    <t>Prod. Audiovisual</t>
  </si>
  <si>
    <t>Proy. Instal. AV</t>
  </si>
  <si>
    <t xml:space="preserve">Optativas </t>
  </si>
  <si>
    <t>Idiomas UPV</t>
  </si>
  <si>
    <t>Prácticas empresa</t>
  </si>
  <si>
    <t>RESUMEN</t>
  </si>
  <si>
    <t>Itinerario elegido:</t>
  </si>
  <si>
    <t>ECTS aprobados:</t>
  </si>
  <si>
    <t>ECTS de itinerario:</t>
  </si>
  <si>
    <t>ECTS optativos:</t>
  </si>
  <si>
    <t>Actividades</t>
  </si>
  <si>
    <t>Situación</t>
  </si>
  <si>
    <t>Comm. Ópticas</t>
  </si>
  <si>
    <t>Comm. Multimedia</t>
  </si>
  <si>
    <t>Optativas</t>
  </si>
  <si>
    <t>Política Telecom.</t>
  </si>
  <si>
    <t xml:space="preserve">TDS Comunicaciones </t>
  </si>
  <si>
    <t>D. Sist. Electrónicos</t>
  </si>
  <si>
    <t>con MENCIONES</t>
  </si>
  <si>
    <t>Code</t>
  </si>
  <si>
    <t>Asignatura</t>
  </si>
  <si>
    <t>Cuat</t>
  </si>
  <si>
    <t>SVídeo</t>
  </si>
  <si>
    <t>CuatV</t>
  </si>
  <si>
    <t>7 y 8</t>
  </si>
  <si>
    <t>≥18</t>
  </si>
  <si>
    <t>≥6</t>
  </si>
  <si>
    <t>Rec. por cambio</t>
  </si>
  <si>
    <t>RpG</t>
  </si>
  <si>
    <t>ECTS por cursar (sin TFG):</t>
  </si>
  <si>
    <t>x</t>
  </si>
  <si>
    <r>
      <t xml:space="preserve">Marque con una    </t>
    </r>
    <r>
      <rPr>
        <b/>
        <sz val="14"/>
        <color theme="1"/>
        <rFont val="Calibri"/>
        <family val="2"/>
        <scheme val="minor"/>
      </rPr>
      <t>x</t>
    </r>
    <r>
      <rPr>
        <sz val="14"/>
        <color theme="1"/>
        <rFont val="Calibri"/>
        <family val="2"/>
        <scheme val="minor"/>
      </rPr>
      <t xml:space="preserve">    las asignaturas aprobadas (o reconocidas, en su caso)</t>
    </r>
  </si>
  <si>
    <t>Alumnos procedentes de ciclos u otros grados</t>
  </si>
  <si>
    <t>Reconocida</t>
  </si>
  <si>
    <t>Pendiente</t>
  </si>
  <si>
    <t>Opcional</t>
  </si>
  <si>
    <t>n/a</t>
  </si>
  <si>
    <t>Códigos de situación de asignatura:</t>
  </si>
  <si>
    <t>Se dan las condiciones para el reconocimiento de la asignatura, por lo que no tendrá que cursarse.</t>
  </si>
  <si>
    <t>La asignatura debe cursarse para completar los estudios.</t>
  </si>
  <si>
    <t>El estudiante puede cursarla voluntariamente, si así lo desea.</t>
  </si>
  <si>
    <t>Sistemas Telemáticos</t>
  </si>
  <si>
    <t>Sistemas Audiovisuales</t>
  </si>
  <si>
    <t>Reconoc. Actividades</t>
  </si>
  <si>
    <t>Reconoc. pre-grado (RpG)</t>
  </si>
  <si>
    <t>Escriba los ECTS obtenidos en estos</t>
  </si>
  <si>
    <t>conceptos del módulo Optativo</t>
  </si>
  <si>
    <t>ECTS no troncales</t>
  </si>
  <si>
    <t>ECTS no troncales:</t>
  </si>
  <si>
    <t>Mención ?</t>
  </si>
  <si>
    <t>Warnings</t>
  </si>
  <si>
    <t>MensajeOK</t>
  </si>
  <si>
    <t>Itinerario más cursado:</t>
  </si>
  <si>
    <t>Posible elección:</t>
  </si>
  <si>
    <t>Itinerarios elegibles:</t>
  </si>
  <si>
    <t>ECTS itinerarios</t>
  </si>
  <si>
    <t>Warnings:</t>
  </si>
  <si>
    <t>A</t>
  </si>
  <si>
    <t>B</t>
  </si>
  <si>
    <t>Resumen adaptación</t>
  </si>
  <si>
    <t>Check</t>
  </si>
  <si>
    <t>ECTS reconocidos:</t>
  </si>
  <si>
    <t>En cuatrimestre A:</t>
  </si>
  <si>
    <t>En cuatrimestre B:</t>
  </si>
  <si>
    <t>Optativos:</t>
  </si>
  <si>
    <t>Cuatrimestre A</t>
  </si>
  <si>
    <t>Cuatrimestre B</t>
  </si>
  <si>
    <t>1º</t>
  </si>
  <si>
    <t xml:space="preserve">2º </t>
  </si>
  <si>
    <t>3º</t>
  </si>
  <si>
    <t>4º</t>
  </si>
  <si>
    <t>MENCIÓN:     SISTEMAS TELEMÁTICOS</t>
  </si>
  <si>
    <t>MENCIÓN A:     SISTEMAS DE TELECOMUNICACIÓN</t>
  </si>
  <si>
    <t>MENCIÓN B:     SISTEMAS ELECTRÓNICOS</t>
  </si>
  <si>
    <t>MENCIÓN C:     SISTEMAS AUDIOVISUALES</t>
  </si>
  <si>
    <t>Plan 190 (año 2018)</t>
  </si>
  <si>
    <t>Plan 167 (año 2013)</t>
  </si>
  <si>
    <t>"Not Available": El estudiante no podrá matricularse en está asignatura dadas sus condiciones particulares de adaptación.</t>
  </si>
  <si>
    <r>
      <t>El estudiante no ha definido todavía la mención elegida, por lo que la asignatura no puede declararse "</t>
    </r>
    <r>
      <rPr>
        <b/>
        <sz val="11"/>
        <color theme="1"/>
        <rFont val="Calibri"/>
        <family val="2"/>
        <scheme val="minor"/>
      </rPr>
      <t>Pendiente</t>
    </r>
    <r>
      <rPr>
        <sz val="11"/>
        <color theme="1"/>
        <rFont val="Calibri"/>
        <family val="2"/>
        <scheme val="minor"/>
      </rPr>
      <t>" ni tampoco "</t>
    </r>
    <r>
      <rPr>
        <b/>
        <sz val="11"/>
        <color theme="1"/>
        <rFont val="Calibri"/>
        <family val="2"/>
        <scheme val="minor"/>
      </rPr>
      <t>n/a</t>
    </r>
    <r>
      <rPr>
        <sz val="11"/>
        <color theme="1"/>
        <rFont val="Calibri"/>
        <family val="2"/>
        <scheme val="minor"/>
      </rPr>
      <t>").</t>
    </r>
  </si>
  <si>
    <t>Mención:</t>
  </si>
  <si>
    <t xml:space="preserve">Optativas por cambio: </t>
  </si>
  <si>
    <t>SIN mención de especialidad: ITINERARIOS</t>
  </si>
  <si>
    <t>Optativas por cambio:</t>
  </si>
  <si>
    <t>Control simulación</t>
  </si>
  <si>
    <t>Control itinerario</t>
  </si>
  <si>
    <t>Elección:</t>
  </si>
  <si>
    <t>Itinerarios elegidos:</t>
  </si>
  <si>
    <t>Rec-Opt</t>
  </si>
  <si>
    <t>Reconocida en la materia optativa con los ECTS originales.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</si>
</sst>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</fills>
  <borders count="6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6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4" fillId="2" borderId="0" xfId="0" applyFont="1" applyFill="1" applyBorder="1" applyProtection="1"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  <xf numFmtId="0" fontId="4" fillId="2" borderId="8" xfId="0" applyFont="1" applyFill="1" applyBorder="1" applyProtection="1"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6" borderId="16" xfId="0" applyFill="1" applyBorder="1" applyAlignment="1" applyProtection="1">
      <alignment horizontal="center"/>
      <protection hidden="1"/>
    </xf>
    <xf numFmtId="0" fontId="4" fillId="2" borderId="17" xfId="0" applyFont="1" applyFill="1" applyBorder="1" applyProtection="1"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7" borderId="10" xfId="0" applyFill="1" applyBorder="1" applyAlignment="1" applyProtection="1">
      <alignment horizontal="center"/>
      <protection hidden="1"/>
    </xf>
    <xf numFmtId="0" fontId="0" fillId="7" borderId="16" xfId="0" applyFill="1" applyBorder="1" applyAlignment="1" applyProtection="1">
      <alignment horizontal="center"/>
      <protection hidden="1"/>
    </xf>
    <xf numFmtId="0" fontId="0" fillId="7" borderId="14" xfId="0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5" borderId="10" xfId="0" applyFill="1" applyBorder="1" applyAlignment="1" applyProtection="1">
      <alignment horizontal="center"/>
      <protection hidden="1"/>
    </xf>
    <xf numFmtId="0" fontId="0" fillId="6" borderId="10" xfId="0" applyFill="1" applyBorder="1" applyAlignment="1" applyProtection="1">
      <alignment horizontal="center"/>
      <protection hidden="1"/>
    </xf>
    <xf numFmtId="0" fontId="0" fillId="6" borderId="14" xfId="0" applyFill="1" applyBorder="1" applyAlignment="1" applyProtection="1">
      <alignment horizontal="center"/>
      <protection hidden="1"/>
    </xf>
    <xf numFmtId="0" fontId="0" fillId="8" borderId="10" xfId="0" applyFill="1" applyBorder="1" applyAlignment="1" applyProtection="1">
      <alignment horizontal="center"/>
      <protection hidden="1"/>
    </xf>
    <xf numFmtId="0" fontId="0" fillId="8" borderId="16" xfId="0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right"/>
      <protection hidden="1"/>
    </xf>
    <xf numFmtId="0" fontId="0" fillId="8" borderId="14" xfId="0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8" borderId="20" xfId="0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/>
      <protection hidden="1"/>
    </xf>
    <xf numFmtId="0" fontId="4" fillId="2" borderId="23" xfId="0" applyFont="1" applyFill="1" applyBorder="1" applyProtection="1">
      <protection hidden="1"/>
    </xf>
    <xf numFmtId="0" fontId="0" fillId="9" borderId="10" xfId="0" applyFill="1" applyBorder="1" applyAlignment="1" applyProtection="1">
      <alignment horizontal="center"/>
      <protection hidden="1"/>
    </xf>
    <xf numFmtId="0" fontId="0" fillId="9" borderId="16" xfId="0" applyFill="1" applyBorder="1" applyAlignment="1" applyProtection="1">
      <alignment horizontal="center"/>
      <protection hidden="1"/>
    </xf>
    <xf numFmtId="0" fontId="0" fillId="9" borderId="14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10" xfId="0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10" borderId="10" xfId="0" applyFill="1" applyBorder="1" applyAlignment="1" applyProtection="1">
      <alignment horizontal="center"/>
      <protection hidden="1"/>
    </xf>
    <xf numFmtId="0" fontId="0" fillId="10" borderId="16" xfId="0" applyFill="1" applyBorder="1" applyAlignment="1" applyProtection="1">
      <alignment horizontal="center"/>
      <protection hidden="1"/>
    </xf>
    <xf numFmtId="0" fontId="0" fillId="10" borderId="14" xfId="0" applyFill="1" applyBorder="1" applyAlignment="1" applyProtection="1">
      <alignment horizontal="center"/>
      <protection hidden="1"/>
    </xf>
    <xf numFmtId="0" fontId="0" fillId="10" borderId="20" xfId="0" applyFill="1" applyBorder="1" applyAlignment="1" applyProtection="1">
      <alignment horizontal="center"/>
      <protection hidden="1"/>
    </xf>
    <xf numFmtId="0" fontId="0" fillId="2" borderId="24" xfId="0" applyFill="1" applyBorder="1" applyProtection="1"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0" fillId="2" borderId="25" xfId="0" applyFill="1" applyBorder="1" applyAlignment="1" applyProtection="1">
      <alignment horizontal="left"/>
      <protection hidden="1"/>
    </xf>
    <xf numFmtId="0" fontId="0" fillId="3" borderId="26" xfId="0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0" fillId="11" borderId="3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2" fillId="12" borderId="10" xfId="0" applyFont="1" applyFill="1" applyBorder="1" applyAlignment="1" applyProtection="1">
      <alignment horizontal="center"/>
      <protection hidden="1"/>
    </xf>
    <xf numFmtId="0" fontId="2" fillId="12" borderId="16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5" borderId="16" xfId="0" applyFill="1" applyBorder="1" applyAlignment="1" applyProtection="1">
      <alignment horizontal="center"/>
      <protection hidden="1"/>
    </xf>
    <xf numFmtId="0" fontId="2" fillId="12" borderId="14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5" borderId="14" xfId="0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13" borderId="8" xfId="0" applyFill="1" applyBorder="1" applyAlignment="1" applyProtection="1">
      <alignment horizontal="left"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0" fillId="3" borderId="31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32" xfId="0" applyFill="1" applyBorder="1" applyAlignment="1" applyProtection="1">
      <alignment horizontal="center"/>
      <protection hidden="1"/>
    </xf>
    <xf numFmtId="0" fontId="0" fillId="3" borderId="33" xfId="0" applyFill="1" applyBorder="1" applyAlignment="1" applyProtection="1">
      <alignment horizontal="center"/>
      <protection hidden="1"/>
    </xf>
    <xf numFmtId="0" fontId="0" fillId="4" borderId="26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4" borderId="38" xfId="0" applyFill="1" applyBorder="1" applyAlignment="1" applyProtection="1">
      <alignment horizontal="center"/>
      <protection hidden="1"/>
    </xf>
    <xf numFmtId="0" fontId="0" fillId="4" borderId="22" xfId="0" applyFill="1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13" borderId="40" xfId="0" applyFill="1" applyBorder="1" applyAlignment="1" applyProtection="1">
      <alignment horizontal="center"/>
      <protection hidden="1"/>
    </xf>
    <xf numFmtId="0" fontId="0" fillId="14" borderId="41" xfId="0" applyFill="1" applyBorder="1" applyAlignment="1" applyProtection="1">
      <alignment horizontal="center"/>
      <protection hidden="1"/>
    </xf>
    <xf numFmtId="0" fontId="0" fillId="13" borderId="35" xfId="0" applyFill="1" applyBorder="1" applyAlignment="1" applyProtection="1">
      <alignment horizontal="center"/>
      <protection hidden="1"/>
    </xf>
    <xf numFmtId="0" fontId="0" fillId="14" borderId="30" xfId="0" applyFill="1" applyBorder="1" applyAlignment="1" applyProtection="1">
      <alignment horizontal="center"/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 horizontal="center"/>
      <protection hidden="1"/>
    </xf>
    <xf numFmtId="0" fontId="0" fillId="4" borderId="18" xfId="0" applyFill="1" applyBorder="1" applyAlignment="1" applyProtection="1">
      <alignment horizontal="center"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0" fillId="6" borderId="26" xfId="0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0" fillId="13" borderId="7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0" fillId="6" borderId="36" xfId="0" applyFill="1" applyBorder="1" applyAlignment="1" applyProtection="1">
      <alignment horizontal="center"/>
      <protection hidden="1"/>
    </xf>
    <xf numFmtId="0" fontId="0" fillId="6" borderId="42" xfId="0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13" borderId="42" xfId="0" applyFill="1" applyBorder="1" applyAlignment="1" applyProtection="1">
      <alignment horizontal="center"/>
      <protection hidden="1"/>
    </xf>
    <xf numFmtId="0" fontId="0" fillId="6" borderId="37" xfId="0" applyFill="1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5" xfId="0" applyFill="1" applyBorder="1" applyAlignment="1" applyProtection="1">
      <alignment horizontal="center"/>
      <protection hidden="1"/>
    </xf>
    <xf numFmtId="0" fontId="0" fillId="13" borderId="37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6" borderId="18" xfId="0" applyFill="1" applyBorder="1" applyAlignment="1" applyProtection="1">
      <alignment horizontal="center"/>
      <protection hidden="1"/>
    </xf>
    <xf numFmtId="0" fontId="0" fillId="6" borderId="38" xfId="0" applyFill="1" applyBorder="1" applyAlignment="1" applyProtection="1">
      <alignment horizontal="center"/>
      <protection hidden="1"/>
    </xf>
    <xf numFmtId="0" fontId="0" fillId="6" borderId="22" xfId="0" applyFill="1" applyBorder="1" applyAlignment="1" applyProtection="1">
      <alignment horizontal="center"/>
      <protection hidden="1"/>
    </xf>
    <xf numFmtId="0" fontId="0" fillId="5" borderId="26" xfId="0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0" fillId="5" borderId="36" xfId="0" applyFill="1" applyBorder="1" applyAlignment="1" applyProtection="1">
      <alignment horizontal="center"/>
      <protection hidden="1"/>
    </xf>
    <xf numFmtId="0" fontId="0" fillId="5" borderId="42" xfId="0" applyFill="1" applyBorder="1" applyAlignment="1" applyProtection="1">
      <alignment horizontal="center"/>
      <protection hidden="1"/>
    </xf>
    <xf numFmtId="0" fontId="0" fillId="5" borderId="37" xfId="0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5" borderId="46" xfId="0" applyFill="1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13" borderId="36" xfId="0" applyFill="1" applyBorder="1" applyAlignment="1" applyProtection="1">
      <alignment horizontal="center"/>
      <protection hidden="1"/>
    </xf>
    <xf numFmtId="0" fontId="0" fillId="5" borderId="30" xfId="0" applyFill="1" applyBorder="1" applyAlignment="1" applyProtection="1">
      <alignment horizontal="center"/>
      <protection hidden="1"/>
    </xf>
    <xf numFmtId="0" fontId="0" fillId="5" borderId="18" xfId="0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11" borderId="28" xfId="0" applyFill="1" applyBorder="1" applyAlignment="1" applyProtection="1">
      <alignment horizontal="center"/>
      <protection hidden="1"/>
    </xf>
    <xf numFmtId="0" fontId="0" fillId="15" borderId="43" xfId="0" applyFill="1" applyBorder="1" applyAlignment="1" applyProtection="1">
      <alignment horizontal="center"/>
      <protection hidden="1"/>
    </xf>
    <xf numFmtId="0" fontId="0" fillId="7" borderId="26" xfId="0" applyFill="1" applyBorder="1" applyAlignment="1" applyProtection="1">
      <alignment horizontal="center"/>
      <protection hidden="1"/>
    </xf>
    <xf numFmtId="0" fontId="0" fillId="7" borderId="7" xfId="0" applyFill="1" applyBorder="1" applyAlignment="1" applyProtection="1">
      <alignment horizontal="center"/>
      <protection hidden="1"/>
    </xf>
    <xf numFmtId="0" fontId="0" fillId="13" borderId="10" xfId="0" applyFill="1" applyBorder="1" applyAlignment="1" applyProtection="1">
      <alignment horizontal="center"/>
      <protection hidden="1"/>
    </xf>
    <xf numFmtId="0" fontId="0" fillId="5" borderId="43" xfId="0" applyFill="1" applyBorder="1" applyAlignment="1" applyProtection="1">
      <alignment horizontal="center"/>
      <protection hidden="1"/>
    </xf>
    <xf numFmtId="0" fontId="0" fillId="7" borderId="36" xfId="0" applyFill="1" applyBorder="1" applyAlignment="1" applyProtection="1">
      <alignment horizontal="center"/>
      <protection hidden="1"/>
    </xf>
    <xf numFmtId="0" fontId="0" fillId="7" borderId="42" xfId="0" applyFill="1" applyBorder="1" applyAlignment="1" applyProtection="1">
      <alignment horizontal="center"/>
      <protection hidden="1"/>
    </xf>
    <xf numFmtId="0" fontId="0" fillId="11" borderId="32" xfId="0" applyFill="1" applyBorder="1" applyAlignment="1" applyProtection="1">
      <alignment horizontal="center"/>
      <protection hidden="1"/>
    </xf>
    <xf numFmtId="0" fontId="0" fillId="15" borderId="33" xfId="0" applyFill="1" applyBorder="1" applyAlignment="1" applyProtection="1">
      <alignment horizontal="center"/>
      <protection hidden="1"/>
    </xf>
    <xf numFmtId="0" fontId="0" fillId="7" borderId="37" xfId="0" applyFill="1" applyBorder="1" applyAlignment="1" applyProtection="1">
      <alignment horizontal="center"/>
      <protection hidden="1"/>
    </xf>
    <xf numFmtId="0" fontId="0" fillId="13" borderId="14" xfId="0" applyFill="1" applyBorder="1" applyAlignment="1" applyProtection="1">
      <alignment horizontal="center"/>
      <protection hidden="1"/>
    </xf>
    <xf numFmtId="0" fontId="0" fillId="13" borderId="28" xfId="0" applyFill="1" applyBorder="1" applyAlignment="1" applyProtection="1">
      <alignment horizontal="center"/>
      <protection hidden="1"/>
    </xf>
    <xf numFmtId="0" fontId="0" fillId="14" borderId="43" xfId="0" applyFill="1" applyBorder="1" applyAlignment="1" applyProtection="1">
      <alignment horizontal="center"/>
      <protection hidden="1"/>
    </xf>
    <xf numFmtId="0" fontId="0" fillId="16" borderId="43" xfId="0" applyFill="1" applyBorder="1" applyAlignment="1" applyProtection="1">
      <alignment horizontal="center"/>
      <protection hidden="1"/>
    </xf>
    <xf numFmtId="0" fontId="0" fillId="7" borderId="18" xfId="0" applyFill="1" applyBorder="1" applyAlignment="1" applyProtection="1">
      <alignment horizontal="center"/>
      <protection hidden="1"/>
    </xf>
    <xf numFmtId="0" fontId="0" fillId="7" borderId="12" xfId="0" applyFill="1" applyBorder="1" applyAlignment="1" applyProtection="1">
      <alignment horizontal="center"/>
      <protection hidden="1"/>
    </xf>
    <xf numFmtId="0" fontId="0" fillId="13" borderId="32" xfId="0" applyFill="1" applyBorder="1" applyAlignment="1" applyProtection="1">
      <alignment horizontal="center"/>
      <protection hidden="1"/>
    </xf>
    <xf numFmtId="0" fontId="0" fillId="14" borderId="33" xfId="0" applyFill="1" applyBorder="1" applyAlignment="1" applyProtection="1">
      <alignment horizontal="center"/>
      <protection hidden="1"/>
    </xf>
    <xf numFmtId="0" fontId="0" fillId="17" borderId="26" xfId="0" applyFill="1" applyBorder="1" applyAlignment="1" applyProtection="1">
      <alignment horizontal="center"/>
      <protection hidden="1"/>
    </xf>
    <xf numFmtId="0" fontId="0" fillId="17" borderId="7" xfId="0" applyFill="1" applyBorder="1" applyAlignment="1" applyProtection="1">
      <alignment horizontal="center"/>
      <protection hidden="1"/>
    </xf>
    <xf numFmtId="0" fontId="0" fillId="17" borderId="14" xfId="0" applyFill="1" applyBorder="1" applyAlignment="1" applyProtection="1">
      <alignment horizontal="center"/>
      <protection hidden="1"/>
    </xf>
    <xf numFmtId="0" fontId="0" fillId="11" borderId="35" xfId="0" applyFill="1" applyBorder="1" applyAlignment="1" applyProtection="1">
      <alignment horizontal="center"/>
      <protection hidden="1"/>
    </xf>
    <xf numFmtId="0" fontId="0" fillId="16" borderId="30" xfId="0" applyFill="1" applyBorder="1" applyAlignment="1" applyProtection="1">
      <alignment horizontal="center"/>
      <protection hidden="1"/>
    </xf>
    <xf numFmtId="0" fontId="0" fillId="17" borderId="36" xfId="0" applyFill="1" applyBorder="1" applyAlignment="1" applyProtection="1">
      <alignment horizontal="center"/>
      <protection hidden="1"/>
    </xf>
    <xf numFmtId="0" fontId="0" fillId="17" borderId="42" xfId="0" applyFill="1" applyBorder="1" applyAlignment="1" applyProtection="1">
      <alignment horizontal="center"/>
      <protection hidden="1"/>
    </xf>
    <xf numFmtId="0" fontId="0" fillId="17" borderId="10" xfId="0" applyFill="1" applyBorder="1" applyAlignment="1" applyProtection="1">
      <alignment horizontal="center"/>
      <protection hidden="1"/>
    </xf>
    <xf numFmtId="0" fontId="0" fillId="17" borderId="37" xfId="0" applyFill="1" applyBorder="1" applyAlignment="1" applyProtection="1">
      <alignment horizontal="center"/>
      <protection hidden="1"/>
    </xf>
    <xf numFmtId="0" fontId="0" fillId="17" borderId="16" xfId="0" applyFill="1" applyBorder="1" applyAlignment="1" applyProtection="1">
      <alignment horizontal="center"/>
      <protection hidden="1"/>
    </xf>
    <xf numFmtId="0" fontId="0" fillId="17" borderId="18" xfId="0" applyFill="1" applyBorder="1" applyAlignment="1" applyProtection="1">
      <alignment horizontal="center"/>
      <protection hidden="1"/>
    </xf>
    <xf numFmtId="0" fontId="0" fillId="17" borderId="12" xfId="0" applyFill="1" applyBorder="1" applyAlignment="1" applyProtection="1">
      <alignment horizontal="center"/>
      <protection hidden="1"/>
    </xf>
    <xf numFmtId="0" fontId="0" fillId="9" borderId="26" xfId="0" applyFill="1" applyBorder="1" applyAlignment="1" applyProtection="1">
      <alignment horizontal="center"/>
      <protection hidden="1"/>
    </xf>
    <xf numFmtId="0" fontId="0" fillId="9" borderId="36" xfId="0" applyFill="1" applyBorder="1" applyAlignment="1" applyProtection="1">
      <alignment horizontal="center"/>
      <protection hidden="1"/>
    </xf>
    <xf numFmtId="0" fontId="0" fillId="9" borderId="7" xfId="0" applyFill="1" applyBorder="1" applyAlignment="1" applyProtection="1">
      <alignment horizontal="center"/>
      <protection hidden="1"/>
    </xf>
    <xf numFmtId="0" fontId="0" fillId="9" borderId="42" xfId="0" applyFill="1" applyBorder="1" applyAlignment="1" applyProtection="1">
      <alignment horizontal="center"/>
      <protection hidden="1"/>
    </xf>
    <xf numFmtId="0" fontId="0" fillId="9" borderId="18" xfId="0" applyFill="1" applyBorder="1" applyAlignment="1" applyProtection="1">
      <alignment horizontal="center"/>
      <protection hidden="1"/>
    </xf>
    <xf numFmtId="0" fontId="0" fillId="9" borderId="12" xfId="0" applyFill="1" applyBorder="1" applyAlignment="1" applyProtection="1">
      <alignment horizontal="center"/>
      <protection hidden="1"/>
    </xf>
    <xf numFmtId="0" fontId="0" fillId="9" borderId="37" xfId="0" applyFill="1" applyBorder="1" applyAlignment="1" applyProtection="1">
      <alignment horizontal="center"/>
      <protection hidden="1"/>
    </xf>
    <xf numFmtId="0" fontId="0" fillId="10" borderId="26" xfId="0" applyFill="1" applyBorder="1" applyAlignment="1" applyProtection="1">
      <alignment horizontal="center"/>
      <protection hidden="1"/>
    </xf>
    <xf numFmtId="0" fontId="0" fillId="10" borderId="36" xfId="0" applyFill="1" applyBorder="1" applyAlignment="1" applyProtection="1">
      <alignment horizontal="center"/>
      <protection hidden="1"/>
    </xf>
    <xf numFmtId="0" fontId="0" fillId="10" borderId="7" xfId="0" applyFill="1" applyBorder="1" applyAlignment="1" applyProtection="1">
      <alignment horizontal="center"/>
      <protection hidden="1"/>
    </xf>
    <xf numFmtId="0" fontId="0" fillId="10" borderId="37" xfId="0" applyFill="1" applyBorder="1" applyAlignment="1" applyProtection="1">
      <alignment horizontal="center"/>
      <protection hidden="1"/>
    </xf>
    <xf numFmtId="0" fontId="0" fillId="10" borderId="18" xfId="0" applyFill="1" applyBorder="1" applyAlignment="1" applyProtection="1">
      <alignment horizontal="center"/>
      <protection hidden="1"/>
    </xf>
    <xf numFmtId="0" fontId="0" fillId="10" borderId="42" xfId="0" applyFill="1" applyBorder="1" applyAlignment="1" applyProtection="1">
      <alignment horizontal="center"/>
      <protection hidden="1"/>
    </xf>
    <xf numFmtId="0" fontId="2" fillId="18" borderId="18" xfId="0" applyFont="1" applyFill="1" applyBorder="1" applyAlignment="1" applyProtection="1">
      <alignment horizontal="center"/>
      <protection hidden="1"/>
    </xf>
    <xf numFmtId="0" fontId="2" fillId="18" borderId="42" xfId="0" applyFont="1" applyFill="1" applyBorder="1" applyAlignment="1" applyProtection="1">
      <alignment horizontal="center"/>
      <protection hidden="1"/>
    </xf>
    <xf numFmtId="0" fontId="2" fillId="18" borderId="49" xfId="0" applyFont="1" applyFill="1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2" fillId="12" borderId="26" xfId="0" applyFont="1" applyFill="1" applyBorder="1" applyAlignment="1" applyProtection="1">
      <alignment horizontal="center"/>
      <protection hidden="1"/>
    </xf>
    <xf numFmtId="0" fontId="2" fillId="12" borderId="7" xfId="0" applyFont="1" applyFill="1" applyBorder="1" applyAlignment="1" applyProtection="1">
      <alignment horizontal="center"/>
      <protection hidden="1"/>
    </xf>
    <xf numFmtId="0" fontId="2" fillId="12" borderId="46" xfId="0" applyFont="1" applyFill="1" applyBorder="1" applyAlignment="1" applyProtection="1">
      <alignment horizontal="center"/>
      <protection hidden="1"/>
    </xf>
    <xf numFmtId="0" fontId="0" fillId="12" borderId="42" xfId="0" applyFill="1" applyBorder="1" applyAlignment="1" applyProtection="1">
      <alignment horizontal="center"/>
      <protection hidden="1"/>
    </xf>
    <xf numFmtId="0" fontId="0" fillId="12" borderId="36" xfId="0" applyFill="1" applyBorder="1" applyAlignment="1" applyProtection="1">
      <alignment horizontal="center"/>
      <protection hidden="1"/>
    </xf>
    <xf numFmtId="0" fontId="0" fillId="12" borderId="18" xfId="0" applyFill="1" applyBorder="1" applyAlignment="1" applyProtection="1">
      <alignment horizontal="center"/>
      <protection hidden="1"/>
    </xf>
    <xf numFmtId="0" fontId="0" fillId="12" borderId="37" xfId="0" applyFill="1" applyBorder="1" applyAlignment="1" applyProtection="1">
      <alignment horizontal="center"/>
      <protection hidden="1"/>
    </xf>
    <xf numFmtId="0" fontId="2" fillId="12" borderId="20" xfId="0" applyFont="1" applyFill="1" applyBorder="1" applyAlignment="1" applyProtection="1">
      <alignment horizontal="center"/>
      <protection hidden="1"/>
    </xf>
    <xf numFmtId="0" fontId="0" fillId="16" borderId="33" xfId="0" applyFill="1" applyBorder="1" applyAlignment="1" applyProtection="1">
      <alignment horizontal="center"/>
      <protection hidden="1"/>
    </xf>
    <xf numFmtId="0" fontId="2" fillId="15" borderId="37" xfId="0" applyFont="1" applyFill="1" applyBorder="1" applyAlignment="1" applyProtection="1">
      <alignment horizontal="center"/>
      <protection hidden="1"/>
    </xf>
    <xf numFmtId="0" fontId="2" fillId="15" borderId="50" xfId="0" applyFont="1" applyFill="1" applyBorder="1" applyAlignment="1" applyProtection="1">
      <alignment horizontal="center"/>
      <protection hidden="1"/>
    </xf>
    <xf numFmtId="0" fontId="2" fillId="18" borderId="51" xfId="0" applyFont="1" applyFill="1" applyBorder="1" applyAlignment="1" applyProtection="1">
      <alignment horizontal="center"/>
      <protection hidden="1"/>
    </xf>
    <xf numFmtId="0" fontId="2" fillId="18" borderId="38" xfId="0" applyFont="1" applyFill="1" applyBorder="1" applyAlignment="1" applyProtection="1">
      <alignment horizontal="center"/>
      <protection hidden="1"/>
    </xf>
    <xf numFmtId="0" fontId="2" fillId="18" borderId="22" xfId="0" applyFont="1" applyFill="1" applyBorder="1" applyAlignment="1" applyProtection="1">
      <alignment horizontal="center"/>
      <protection hidden="1"/>
    </xf>
    <xf numFmtId="0" fontId="2" fillId="12" borderId="51" xfId="0" applyFont="1" applyFill="1" applyBorder="1" applyAlignment="1" applyProtection="1">
      <alignment horizontal="center"/>
      <protection hidden="1"/>
    </xf>
    <xf numFmtId="0" fontId="2" fillId="12" borderId="38" xfId="0" applyFont="1" applyFill="1" applyBorder="1" applyAlignment="1" applyProtection="1">
      <alignment horizontal="center"/>
      <protection hidden="1"/>
    </xf>
    <xf numFmtId="0" fontId="0" fillId="12" borderId="23" xfId="0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2" fillId="15" borderId="38" xfId="0" applyFont="1" applyFill="1" applyBorder="1" applyAlignment="1" applyProtection="1">
      <alignment horizontal="center"/>
      <protection hidden="1"/>
    </xf>
    <xf numFmtId="0" fontId="2" fillId="15" borderId="41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4" borderId="28" xfId="0" applyFill="1" applyBorder="1" applyAlignment="1" applyProtection="1">
      <alignment horizontal="center"/>
      <protection hidden="1"/>
    </xf>
    <xf numFmtId="0" fontId="0" fillId="6" borderId="28" xfId="0" applyFill="1" applyBorder="1" applyAlignment="1" applyProtection="1">
      <alignment horizontal="center"/>
      <protection hidden="1"/>
    </xf>
    <xf numFmtId="0" fontId="0" fillId="5" borderId="28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2" fillId="19" borderId="10" xfId="0" applyFont="1" applyFill="1" applyBorder="1" applyAlignment="1" applyProtection="1">
      <alignment horizontal="center"/>
      <protection hidden="1"/>
    </xf>
    <xf numFmtId="0" fontId="3" fillId="19" borderId="10" xfId="0" applyFont="1" applyFill="1" applyBorder="1" applyAlignment="1" applyProtection="1">
      <alignment horizontal="center"/>
      <protection hidden="1"/>
    </xf>
    <xf numFmtId="0" fontId="2" fillId="18" borderId="52" xfId="0" applyFont="1" applyFill="1" applyBorder="1" applyAlignment="1" applyProtection="1">
      <alignment horizontal="center"/>
      <protection hidden="1"/>
    </xf>
    <xf numFmtId="0" fontId="2" fillId="18" borderId="53" xfId="0" applyFont="1" applyFill="1" applyBorder="1" applyAlignment="1" applyProtection="1">
      <alignment horizontal="center"/>
      <protection hidden="1"/>
    </xf>
    <xf numFmtId="0" fontId="2" fillId="18" borderId="54" xfId="0" applyFont="1" applyFill="1" applyBorder="1" applyAlignment="1" applyProtection="1">
      <alignment horizontal="center"/>
      <protection hidden="1"/>
    </xf>
    <xf numFmtId="0" fontId="2" fillId="18" borderId="55" xfId="0" applyFont="1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horizontal="center"/>
      <protection hidden="1"/>
    </xf>
    <xf numFmtId="0" fontId="0" fillId="9" borderId="8" xfId="0" applyFill="1" applyBorder="1" applyAlignment="1" applyProtection="1">
      <alignment horizontal="center"/>
      <protection hidden="1"/>
    </xf>
    <xf numFmtId="0" fontId="0" fillId="10" borderId="8" xfId="0" applyFill="1" applyBorder="1" applyAlignment="1" applyProtection="1">
      <alignment horizontal="center"/>
      <protection hidden="1"/>
    </xf>
    <xf numFmtId="0" fontId="0" fillId="17" borderId="8" xfId="0" applyFill="1" applyBorder="1" applyAlignment="1" applyProtection="1">
      <alignment horizontal="center"/>
      <protection hidden="1"/>
    </xf>
    <xf numFmtId="0" fontId="0" fillId="0" borderId="56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25" xfId="0" applyFill="1" applyBorder="1" applyAlignment="1" applyProtection="1">
      <alignment horizontal="right"/>
      <protection hidden="1"/>
    </xf>
    <xf numFmtId="0" fontId="0" fillId="11" borderId="0" xfId="0" applyFill="1" applyBorder="1" applyProtection="1">
      <protection hidden="1"/>
    </xf>
    <xf numFmtId="0" fontId="0" fillId="11" borderId="0" xfId="0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right"/>
      <protection hidden="1"/>
    </xf>
    <xf numFmtId="0" fontId="0" fillId="20" borderId="27" xfId="0" applyFill="1" applyBorder="1" applyAlignment="1" applyProtection="1">
      <alignment horizontal="right"/>
      <protection hidden="1"/>
    </xf>
    <xf numFmtId="0" fontId="0" fillId="20" borderId="28" xfId="0" applyFill="1" applyBorder="1" applyAlignment="1" applyProtection="1">
      <alignment horizontal="center"/>
      <protection hidden="1"/>
    </xf>
    <xf numFmtId="0" fontId="0" fillId="20" borderId="12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right"/>
      <protection hidden="1"/>
    </xf>
    <xf numFmtId="0" fontId="7" fillId="17" borderId="27" xfId="0" applyFont="1" applyFill="1" applyBorder="1" applyProtection="1">
      <protection hidden="1"/>
    </xf>
    <xf numFmtId="0" fontId="0" fillId="17" borderId="57" xfId="0" applyFill="1" applyBorder="1" applyProtection="1">
      <protection hidden="1"/>
    </xf>
    <xf numFmtId="0" fontId="7" fillId="17" borderId="28" xfId="0" applyFont="1" applyFill="1" applyBorder="1" applyAlignment="1" applyProtection="1">
      <alignment horizontal="center"/>
      <protection hidden="1"/>
    </xf>
    <xf numFmtId="0" fontId="0" fillId="19" borderId="27" xfId="0" applyFill="1" applyBorder="1" applyAlignment="1" applyProtection="1">
      <alignment horizontal="right"/>
      <protection hidden="1"/>
    </xf>
    <xf numFmtId="0" fontId="0" fillId="19" borderId="10" xfId="0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11" borderId="8" xfId="0" applyFill="1" applyBorder="1" applyAlignment="1" applyProtection="1">
      <alignment horizontal="left"/>
      <protection hidden="1"/>
    </xf>
    <xf numFmtId="0" fontId="0" fillId="0" borderId="27" xfId="0" applyBorder="1" applyProtection="1">
      <protection hidden="1"/>
    </xf>
    <xf numFmtId="0" fontId="0" fillId="0" borderId="5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4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7" borderId="8" xfId="0" applyFill="1" applyBorder="1" applyProtection="1">
      <protection hidden="1"/>
    </xf>
    <xf numFmtId="0" fontId="0" fillId="7" borderId="24" xfId="0" applyFill="1" applyBorder="1" applyProtection="1">
      <protection hidden="1"/>
    </xf>
    <xf numFmtId="0" fontId="0" fillId="0" borderId="42" xfId="0" applyBorder="1" applyProtection="1">
      <protection hidden="1"/>
    </xf>
    <xf numFmtId="0" fontId="0" fillId="0" borderId="43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56" xfId="0" applyBorder="1" applyProtection="1"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5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37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9" borderId="8" xfId="0" applyFill="1" applyBorder="1" applyProtection="1">
      <protection hidden="1"/>
    </xf>
    <xf numFmtId="0" fontId="0" fillId="9" borderId="24" xfId="0" applyFill="1" applyBorder="1" applyProtection="1">
      <protection hidden="1"/>
    </xf>
    <xf numFmtId="0" fontId="0" fillId="10" borderId="8" xfId="0" applyFill="1" applyBorder="1" applyProtection="1">
      <protection hidden="1"/>
    </xf>
    <xf numFmtId="0" fontId="0" fillId="10" borderId="24" xfId="0" applyFill="1" applyBorder="1" applyProtection="1"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17" borderId="8" xfId="0" applyFill="1" applyBorder="1" applyProtection="1">
      <protection hidden="1"/>
    </xf>
    <xf numFmtId="0" fontId="0" fillId="17" borderId="24" xfId="0" applyFill="1" applyBorder="1" applyProtection="1"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19" borderId="28" xfId="0" applyFill="1" applyBorder="1" applyAlignment="1" applyProtection="1">
      <alignment horizontal="center"/>
      <protection hidden="1"/>
    </xf>
    <xf numFmtId="0" fontId="0" fillId="21" borderId="7" xfId="0" applyFill="1" applyBorder="1" applyAlignment="1" applyProtection="1">
      <alignment horizontal="center"/>
      <protection hidden="1"/>
    </xf>
    <xf numFmtId="0" fontId="0" fillId="21" borderId="8" xfId="0" applyFill="1" applyBorder="1" applyAlignment="1" applyProtection="1">
      <alignment horizontal="center"/>
      <protection hidden="1"/>
    </xf>
    <xf numFmtId="0" fontId="0" fillId="21" borderId="24" xfId="0" applyFill="1" applyBorder="1" applyAlignment="1" applyProtection="1">
      <alignment horizontal="center"/>
      <protection hidden="1"/>
    </xf>
    <xf numFmtId="0" fontId="0" fillId="21" borderId="37" xfId="0" applyFill="1" applyBorder="1" applyAlignment="1" applyProtection="1">
      <alignment horizontal="center"/>
      <protection hidden="1"/>
    </xf>
    <xf numFmtId="0" fontId="0" fillId="21" borderId="17" xfId="0" applyFill="1" applyBorder="1" applyAlignment="1" applyProtection="1">
      <alignment horizontal="center"/>
      <protection hidden="1"/>
    </xf>
    <xf numFmtId="0" fontId="0" fillId="21" borderId="50" xfId="0" applyFill="1" applyBorder="1" applyAlignment="1" applyProtection="1">
      <alignment horizontal="center"/>
      <protection hidden="1"/>
    </xf>
    <xf numFmtId="0" fontId="5" fillId="21" borderId="27" xfId="0" applyFont="1" applyFill="1" applyBorder="1" applyAlignment="1" applyProtection="1">
      <alignment horizontal="center"/>
      <protection hidden="1"/>
    </xf>
    <xf numFmtId="0" fontId="5" fillId="21" borderId="57" xfId="0" applyFont="1" applyFill="1" applyBorder="1" applyAlignment="1" applyProtection="1">
      <alignment horizontal="center"/>
      <protection hidden="1"/>
    </xf>
    <xf numFmtId="0" fontId="5" fillId="21" borderId="28" xfId="0" applyFont="1" applyFill="1" applyBorder="1" applyAlignment="1" applyProtection="1">
      <alignment horizontal="center"/>
      <protection hidden="1"/>
    </xf>
    <xf numFmtId="0" fontId="11" fillId="8" borderId="27" xfId="0" applyFont="1" applyFill="1" applyBorder="1" applyAlignment="1" applyProtection="1">
      <alignment horizontal="center"/>
      <protection hidden="1"/>
    </xf>
    <xf numFmtId="0" fontId="11" fillId="8" borderId="57" xfId="0" applyFont="1" applyFill="1" applyBorder="1" applyAlignment="1" applyProtection="1">
      <alignment horizontal="center"/>
      <protection hidden="1"/>
    </xf>
    <xf numFmtId="0" fontId="11" fillId="8" borderId="28" xfId="0" applyFont="1" applyFill="1" applyBorder="1" applyAlignment="1" applyProtection="1">
      <alignment horizontal="center"/>
      <protection hidden="1"/>
    </xf>
    <xf numFmtId="0" fontId="0" fillId="3" borderId="60" xfId="0" applyFill="1" applyBorder="1" applyAlignment="1" applyProtection="1">
      <alignment horizontal="center"/>
      <protection hidden="1"/>
    </xf>
    <xf numFmtId="0" fontId="0" fillId="3" borderId="35" xfId="0" applyFill="1" applyBorder="1" applyAlignment="1" applyProtection="1">
      <alignment horizontal="center"/>
      <protection hidden="1"/>
    </xf>
    <xf numFmtId="0" fontId="2" fillId="12" borderId="61" xfId="0" applyFont="1" applyFill="1" applyBorder="1" applyAlignment="1" applyProtection="1">
      <alignment horizontal="center"/>
      <protection hidden="1"/>
    </xf>
    <xf numFmtId="0" fontId="2" fillId="12" borderId="28" xfId="0" applyFont="1" applyFill="1" applyBorder="1" applyAlignment="1" applyProtection="1">
      <alignment horizontal="center"/>
      <protection hidden="1"/>
    </xf>
    <xf numFmtId="0" fontId="2" fillId="12" borderId="62" xfId="0" applyFont="1" applyFill="1" applyBorder="1" applyAlignment="1" applyProtection="1">
      <alignment horizontal="center"/>
      <protection hidden="1"/>
    </xf>
    <xf numFmtId="0" fontId="2" fillId="12" borderId="32" xfId="0" applyFont="1" applyFill="1" applyBorder="1" applyAlignment="1" applyProtection="1">
      <alignment horizontal="center"/>
      <protection hidden="1"/>
    </xf>
    <xf numFmtId="0" fontId="0" fillId="14" borderId="7" xfId="0" applyFill="1" applyBorder="1" applyProtection="1">
      <protection hidden="1"/>
    </xf>
    <xf numFmtId="0" fontId="0" fillId="14" borderId="8" xfId="0" applyFill="1" applyBorder="1" applyProtection="1">
      <protection hidden="1"/>
    </xf>
    <xf numFmtId="0" fontId="0" fillId="14" borderId="24" xfId="0" applyFill="1" applyBorder="1" applyProtection="1">
      <protection hidden="1"/>
    </xf>
    <xf numFmtId="0" fontId="11" fillId="14" borderId="42" xfId="0" applyFont="1" applyFill="1" applyBorder="1" applyAlignment="1" applyProtection="1">
      <alignment horizontal="right"/>
      <protection hidden="1"/>
    </xf>
    <xf numFmtId="0" fontId="0" fillId="14" borderId="0" xfId="0" applyFill="1" applyBorder="1" applyProtection="1">
      <protection hidden="1"/>
    </xf>
    <xf numFmtId="0" fontId="0" fillId="14" borderId="25" xfId="0" applyFill="1" applyBorder="1" applyProtection="1">
      <protection hidden="1"/>
    </xf>
    <xf numFmtId="0" fontId="11" fillId="14" borderId="37" xfId="0" applyFont="1" applyFill="1" applyBorder="1" applyAlignment="1" applyProtection="1">
      <alignment horizontal="right"/>
      <protection hidden="1"/>
    </xf>
    <xf numFmtId="0" fontId="0" fillId="14" borderId="17" xfId="0" applyFill="1" applyBorder="1" applyProtection="1">
      <protection hidden="1"/>
    </xf>
    <xf numFmtId="0" fontId="0" fillId="14" borderId="50" xfId="0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1" fillId="11" borderId="7" xfId="0" applyFont="1" applyFill="1" applyBorder="1" applyAlignment="1" applyProtection="1">
      <alignment horizontal="center" vertical="center" wrapText="1"/>
      <protection hidden="1"/>
    </xf>
    <xf numFmtId="0" fontId="11" fillId="11" borderId="8" xfId="0" applyFont="1" applyFill="1" applyBorder="1" applyAlignment="1" applyProtection="1">
      <alignment horizontal="center" vertical="center" wrapText="1"/>
      <protection hidden="1"/>
    </xf>
    <xf numFmtId="0" fontId="11" fillId="11" borderId="24" xfId="0" applyFont="1" applyFill="1" applyBorder="1" applyAlignment="1" applyProtection="1">
      <alignment horizontal="center" vertical="center" wrapText="1"/>
      <protection hidden="1"/>
    </xf>
    <xf numFmtId="0" fontId="11" fillId="11" borderId="42" xfId="0" applyFont="1" applyFill="1" applyBorder="1" applyAlignment="1" applyProtection="1">
      <alignment horizontal="center" vertical="center" wrapText="1"/>
      <protection hidden="1"/>
    </xf>
    <xf numFmtId="0" fontId="11" fillId="11" borderId="0" xfId="0" applyFont="1" applyFill="1" applyBorder="1" applyAlignment="1" applyProtection="1">
      <alignment horizontal="center" vertical="center" wrapText="1"/>
      <protection hidden="1"/>
    </xf>
    <xf numFmtId="0" fontId="11" fillId="11" borderId="25" xfId="0" applyFont="1" applyFill="1" applyBorder="1" applyAlignment="1" applyProtection="1">
      <alignment horizontal="center" vertical="center" wrapText="1"/>
      <protection hidden="1"/>
    </xf>
    <xf numFmtId="0" fontId="11" fillId="11" borderId="37" xfId="0" applyFont="1" applyFill="1" applyBorder="1" applyAlignment="1" applyProtection="1">
      <alignment horizontal="center" vertical="center" wrapText="1"/>
      <protection hidden="1"/>
    </xf>
    <xf numFmtId="0" fontId="11" fillId="11" borderId="17" xfId="0" applyFont="1" applyFill="1" applyBorder="1" applyAlignment="1" applyProtection="1">
      <alignment horizontal="center" vertical="center" wrapText="1"/>
      <protection hidden="1"/>
    </xf>
    <xf numFmtId="0" fontId="11" fillId="11" borderId="50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4" fillId="14" borderId="7" xfId="0" applyFont="1" applyFill="1" applyBorder="1" applyProtection="1">
      <protection hidden="1"/>
    </xf>
    <xf numFmtId="0" fontId="8" fillId="14" borderId="8" xfId="0" applyFont="1" applyFill="1" applyBorder="1" applyAlignment="1" applyProtection="1">
      <alignment horizontal="center"/>
      <protection hidden="1"/>
    </xf>
    <xf numFmtId="0" fontId="8" fillId="14" borderId="24" xfId="0" applyFont="1" applyFill="1" applyBorder="1" applyAlignment="1" applyProtection="1">
      <alignment horizontal="center"/>
      <protection hidden="1"/>
    </xf>
    <xf numFmtId="0" fontId="0" fillId="14" borderId="42" xfId="0" applyFill="1" applyBorder="1" applyProtection="1">
      <protection hidden="1"/>
    </xf>
    <xf numFmtId="0" fontId="8" fillId="14" borderId="0" xfId="0" applyFont="1" applyFill="1" applyBorder="1" applyAlignment="1" applyProtection="1">
      <alignment horizontal="center"/>
      <protection hidden="1"/>
    </xf>
    <xf numFmtId="0" fontId="8" fillId="14" borderId="0" xfId="0" applyFont="1" applyFill="1" applyBorder="1" applyAlignment="1" applyProtection="1">
      <alignment horizontal="right"/>
      <protection hidden="1"/>
    </xf>
    <xf numFmtId="0" fontId="8" fillId="14" borderId="25" xfId="0" applyFont="1" applyFill="1" applyBorder="1" applyAlignment="1" applyProtection="1">
      <alignment horizontal="center"/>
      <protection hidden="1"/>
    </xf>
    <xf numFmtId="0" fontId="0" fillId="14" borderId="0" xfId="0" applyFill="1" applyBorder="1" applyAlignment="1" applyProtection="1">
      <alignment horizontal="right"/>
      <protection hidden="1"/>
    </xf>
    <xf numFmtId="0" fontId="0" fillId="14" borderId="0" xfId="0" applyFill="1" applyBorder="1" applyAlignment="1" applyProtection="1">
      <alignment horizontal="center"/>
      <protection hidden="1"/>
    </xf>
    <xf numFmtId="0" fontId="0" fillId="14" borderId="37" xfId="0" applyFill="1" applyBorder="1" applyProtection="1">
      <protection hidden="1"/>
    </xf>
    <xf numFmtId="0" fontId="0" fillId="14" borderId="17" xfId="0" applyFill="1" applyBorder="1" applyAlignment="1" applyProtection="1">
      <alignment horizontal="right"/>
      <protection hidden="1"/>
    </xf>
    <xf numFmtId="0" fontId="0" fillId="14" borderId="17" xfId="0" applyFill="1" applyBorder="1" applyAlignment="1" applyProtection="1">
      <alignment horizontal="center"/>
      <protection hidden="1"/>
    </xf>
    <xf numFmtId="0" fontId="8" fillId="14" borderId="17" xfId="0" applyFont="1" applyFill="1" applyBorder="1" applyAlignment="1" applyProtection="1">
      <alignment horizontal="center"/>
      <protection hidden="1"/>
    </xf>
    <xf numFmtId="0" fontId="8" fillId="14" borderId="5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0" fillId="0" borderId="28" xfId="0" applyFont="1" applyBorder="1" applyProtection="1">
      <protection hidden="1"/>
    </xf>
    <xf numFmtId="0" fontId="13" fillId="0" borderId="0" xfId="0" applyFont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right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9C0006"/>
      </font>
      <border/>
    </dxf>
    <dxf>
      <font>
        <color theme="0"/>
      </font>
    </dxf>
    <dxf>
      <font>
        <color theme="0"/>
      </font>
    </dxf>
    <dxf>
      <fill>
        <patternFill>
          <bgColor theme="0" tint="-0.149959996342659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C00000"/>
        </patternFill>
      </fill>
      <border>
        <left style="thin"/>
        <right style="thin"/>
        <top style="thin"/>
        <bottom style="thin"/>
        <vertical/>
        <horizontal/>
      </border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workbookViewId="0" topLeftCell="A1">
      <selection activeCell="A5" sqref="A5"/>
    </sheetView>
  </sheetViews>
  <sheetFormatPr defaultColWidth="11.421875" defaultRowHeight="15"/>
  <cols>
    <col min="1" max="2" width="17.140625" style="32" bestFit="1" customWidth="1"/>
    <col min="3" max="3" width="6.00390625" style="32" bestFit="1" customWidth="1"/>
    <col min="4" max="4" width="14.421875" style="32" bestFit="1" customWidth="1"/>
    <col min="5" max="5" width="5.140625" style="32" bestFit="1" customWidth="1"/>
    <col min="6" max="6" width="5.00390625" style="32" bestFit="1" customWidth="1"/>
    <col min="7" max="7" width="5.00390625" style="32" customWidth="1"/>
    <col min="8" max="9" width="17.140625" style="32" bestFit="1" customWidth="1"/>
    <col min="10" max="10" width="6.00390625" style="32" bestFit="1" customWidth="1"/>
    <col min="11" max="11" width="14.421875" style="32" bestFit="1" customWidth="1"/>
    <col min="12" max="12" width="5.140625" style="32" bestFit="1" customWidth="1"/>
    <col min="13" max="13" width="5.00390625" style="32" bestFit="1" customWidth="1"/>
    <col min="14" max="14" width="6.28125" style="32" bestFit="1" customWidth="1"/>
    <col min="15" max="16384" width="11.421875" style="32" customWidth="1"/>
  </cols>
  <sheetData>
    <row r="1" spans="1:14" s="83" customFormat="1" ht="15">
      <c r="A1" s="80" t="s">
        <v>287</v>
      </c>
      <c r="B1" s="260" t="s">
        <v>292</v>
      </c>
      <c r="C1" s="260"/>
      <c r="D1" s="260"/>
      <c r="E1" s="81"/>
      <c r="F1" s="82"/>
      <c r="H1" s="80" t="s">
        <v>286</v>
      </c>
      <c r="I1" s="84" t="s">
        <v>229</v>
      </c>
      <c r="J1" s="81"/>
      <c r="K1" s="81"/>
      <c r="L1" s="81"/>
      <c r="M1" s="85"/>
      <c r="N1" s="86"/>
    </row>
    <row r="2" spans="1:14" ht="15.75" thickBot="1">
      <c r="A2" s="87" t="s">
        <v>0</v>
      </c>
      <c r="B2" s="88" t="s">
        <v>1</v>
      </c>
      <c r="C2" s="88" t="s">
        <v>230</v>
      </c>
      <c r="D2" s="88" t="s">
        <v>231</v>
      </c>
      <c r="E2" s="89" t="s">
        <v>2</v>
      </c>
      <c r="F2" s="90" t="s">
        <v>232</v>
      </c>
      <c r="H2" s="87" t="s">
        <v>0</v>
      </c>
      <c r="I2" s="88" t="s">
        <v>1</v>
      </c>
      <c r="J2" s="88" t="s">
        <v>230</v>
      </c>
      <c r="K2" s="88" t="s">
        <v>231</v>
      </c>
      <c r="L2" s="88" t="s">
        <v>2</v>
      </c>
      <c r="M2" s="91" t="s">
        <v>232</v>
      </c>
      <c r="N2" s="92" t="s">
        <v>234</v>
      </c>
    </row>
    <row r="3" spans="1:14" ht="15">
      <c r="A3" s="93" t="s">
        <v>16</v>
      </c>
      <c r="B3" s="94" t="s">
        <v>3</v>
      </c>
      <c r="C3" s="20">
        <v>12396</v>
      </c>
      <c r="D3" s="20" t="s">
        <v>4</v>
      </c>
      <c r="E3" s="95">
        <v>7.5</v>
      </c>
      <c r="F3" s="78">
        <v>1</v>
      </c>
      <c r="H3" s="93" t="s">
        <v>16</v>
      </c>
      <c r="I3" s="94" t="s">
        <v>3</v>
      </c>
      <c r="J3" s="20">
        <v>12396</v>
      </c>
      <c r="K3" s="20" t="s">
        <v>4</v>
      </c>
      <c r="L3" s="96">
        <v>7.5</v>
      </c>
      <c r="M3" s="97">
        <v>1</v>
      </c>
      <c r="N3" s="98">
        <v>1</v>
      </c>
    </row>
    <row r="4" spans="1:14" ht="15.75" thickBot="1">
      <c r="A4" s="99" t="s">
        <v>15</v>
      </c>
      <c r="B4" s="100"/>
      <c r="C4" s="101">
        <v>12397</v>
      </c>
      <c r="D4" s="101" t="s">
        <v>5</v>
      </c>
      <c r="E4" s="102">
        <v>7.5</v>
      </c>
      <c r="F4" s="75">
        <v>2</v>
      </c>
      <c r="H4" s="99" t="s">
        <v>15</v>
      </c>
      <c r="I4" s="100"/>
      <c r="J4" s="101">
        <v>12397</v>
      </c>
      <c r="K4" s="101" t="s">
        <v>5</v>
      </c>
      <c r="L4" s="103">
        <v>7.5</v>
      </c>
      <c r="M4" s="104">
        <v>2</v>
      </c>
      <c r="N4" s="105">
        <v>2</v>
      </c>
    </row>
    <row r="5" spans="1:14" ht="15">
      <c r="A5" s="99">
        <f>SUM(E3:E12)</f>
        <v>63</v>
      </c>
      <c r="B5" s="94" t="s">
        <v>6</v>
      </c>
      <c r="C5" s="20">
        <v>12399</v>
      </c>
      <c r="D5" s="20" t="s">
        <v>7</v>
      </c>
      <c r="E5" s="95">
        <v>6</v>
      </c>
      <c r="F5" s="78">
        <v>1</v>
      </c>
      <c r="H5" s="99">
        <f>SUM(L3:L12)</f>
        <v>63</v>
      </c>
      <c r="I5" s="94" t="s">
        <v>6</v>
      </c>
      <c r="J5" s="20">
        <v>12399</v>
      </c>
      <c r="K5" s="20" t="s">
        <v>7</v>
      </c>
      <c r="L5" s="96">
        <v>6</v>
      </c>
      <c r="M5" s="97">
        <v>1</v>
      </c>
      <c r="N5" s="98">
        <v>1</v>
      </c>
    </row>
    <row r="6" spans="1:14" ht="15.75" thickBot="1">
      <c r="A6" s="99"/>
      <c r="B6" s="100"/>
      <c r="C6" s="101">
        <v>12398</v>
      </c>
      <c r="D6" s="101" t="s">
        <v>8</v>
      </c>
      <c r="E6" s="102">
        <v>6</v>
      </c>
      <c r="F6" s="75">
        <v>2</v>
      </c>
      <c r="H6" s="99"/>
      <c r="I6" s="100"/>
      <c r="J6" s="101">
        <v>12398</v>
      </c>
      <c r="K6" s="101" t="s">
        <v>8</v>
      </c>
      <c r="L6" s="103">
        <v>6</v>
      </c>
      <c r="M6" s="104">
        <v>2</v>
      </c>
      <c r="N6" s="105">
        <v>2</v>
      </c>
    </row>
    <row r="7" spans="1:14" ht="15.75" thickBot="1">
      <c r="A7" s="99"/>
      <c r="B7" s="106" t="s">
        <v>9</v>
      </c>
      <c r="C7" s="107">
        <v>12400</v>
      </c>
      <c r="D7" s="107" t="s">
        <v>10</v>
      </c>
      <c r="E7" s="108">
        <v>6</v>
      </c>
      <c r="F7" s="109">
        <v>1</v>
      </c>
      <c r="H7" s="99"/>
      <c r="I7" s="106" t="s">
        <v>9</v>
      </c>
      <c r="J7" s="107">
        <v>12400</v>
      </c>
      <c r="K7" s="107" t="s">
        <v>10</v>
      </c>
      <c r="L7" s="110">
        <v>6</v>
      </c>
      <c r="M7" s="111">
        <v>1</v>
      </c>
      <c r="N7" s="112">
        <v>1</v>
      </c>
    </row>
    <row r="8" spans="1:14" ht="15.75" thickBot="1">
      <c r="A8" s="99"/>
      <c r="B8" s="106" t="s">
        <v>11</v>
      </c>
      <c r="C8" s="107">
        <v>12401</v>
      </c>
      <c r="D8" s="107" t="s">
        <v>12</v>
      </c>
      <c r="E8" s="108">
        <v>6</v>
      </c>
      <c r="F8" s="109">
        <v>2</v>
      </c>
      <c r="H8" s="99"/>
      <c r="I8" s="106" t="s">
        <v>11</v>
      </c>
      <c r="J8" s="107">
        <v>12401</v>
      </c>
      <c r="K8" s="107" t="s">
        <v>12</v>
      </c>
      <c r="L8" s="110">
        <v>6</v>
      </c>
      <c r="M8" s="113">
        <v>1</v>
      </c>
      <c r="N8" s="114">
        <v>2</v>
      </c>
    </row>
    <row r="9" spans="1:14" ht="15">
      <c r="A9" s="99"/>
      <c r="B9" s="94" t="s">
        <v>13</v>
      </c>
      <c r="C9" s="20">
        <v>12404</v>
      </c>
      <c r="D9" s="20" t="s">
        <v>17</v>
      </c>
      <c r="E9" s="95">
        <v>6</v>
      </c>
      <c r="F9" s="78">
        <v>1</v>
      </c>
      <c r="H9" s="99"/>
      <c r="I9" s="94" t="s">
        <v>13</v>
      </c>
      <c r="J9" s="20">
        <v>12404</v>
      </c>
      <c r="K9" s="20" t="s">
        <v>17</v>
      </c>
      <c r="L9" s="96">
        <v>6</v>
      </c>
      <c r="M9" s="115">
        <v>2</v>
      </c>
      <c r="N9" s="116">
        <v>1</v>
      </c>
    </row>
    <row r="10" spans="1:14" ht="15">
      <c r="A10" s="99"/>
      <c r="B10" s="117" t="s">
        <v>14</v>
      </c>
      <c r="C10" s="15">
        <v>12402</v>
      </c>
      <c r="D10" s="15" t="s">
        <v>18</v>
      </c>
      <c r="E10" s="70">
        <v>6</v>
      </c>
      <c r="F10" s="72">
        <v>2</v>
      </c>
      <c r="H10" s="99"/>
      <c r="I10" s="117" t="s">
        <v>14</v>
      </c>
      <c r="J10" s="15">
        <v>12402</v>
      </c>
      <c r="K10" s="15" t="s">
        <v>18</v>
      </c>
      <c r="L10" s="118">
        <v>6</v>
      </c>
      <c r="M10" s="71">
        <v>2</v>
      </c>
      <c r="N10" s="119">
        <v>2</v>
      </c>
    </row>
    <row r="11" spans="1:14" ht="15">
      <c r="A11" s="99"/>
      <c r="B11" s="117"/>
      <c r="C11" s="15">
        <v>12403</v>
      </c>
      <c r="D11" s="15" t="s">
        <v>19</v>
      </c>
      <c r="E11" s="70">
        <v>6</v>
      </c>
      <c r="F11" s="72">
        <v>3</v>
      </c>
      <c r="H11" s="99"/>
      <c r="I11" s="117"/>
      <c r="J11" s="15">
        <v>12403</v>
      </c>
      <c r="K11" s="15" t="s">
        <v>19</v>
      </c>
      <c r="L11" s="118">
        <v>6</v>
      </c>
      <c r="M11" s="71">
        <v>3</v>
      </c>
      <c r="N11" s="119">
        <v>3</v>
      </c>
    </row>
    <row r="12" spans="1:14" ht="15.75" thickBot="1">
      <c r="A12" s="120"/>
      <c r="B12" s="100"/>
      <c r="C12" s="101">
        <v>12405</v>
      </c>
      <c r="D12" s="101" t="s">
        <v>20</v>
      </c>
      <c r="E12" s="102">
        <v>6</v>
      </c>
      <c r="F12" s="75">
        <v>3</v>
      </c>
      <c r="H12" s="120"/>
      <c r="I12" s="100"/>
      <c r="J12" s="101">
        <v>12405</v>
      </c>
      <c r="K12" s="101" t="s">
        <v>20</v>
      </c>
      <c r="L12" s="103">
        <v>6</v>
      </c>
      <c r="M12" s="104">
        <v>3</v>
      </c>
      <c r="N12" s="121">
        <v>3</v>
      </c>
    </row>
    <row r="13" spans="1:14" ht="15">
      <c r="A13" s="122" t="s">
        <v>30</v>
      </c>
      <c r="B13" s="123" t="s">
        <v>21</v>
      </c>
      <c r="C13" s="37">
        <v>12406</v>
      </c>
      <c r="D13" s="37" t="s">
        <v>28</v>
      </c>
      <c r="E13" s="95">
        <v>6</v>
      </c>
      <c r="F13" s="78">
        <v>4</v>
      </c>
      <c r="H13" s="123" t="s">
        <v>30</v>
      </c>
      <c r="I13" s="124" t="s">
        <v>21</v>
      </c>
      <c r="J13" s="37">
        <v>12406</v>
      </c>
      <c r="K13" s="37" t="s">
        <v>28</v>
      </c>
      <c r="L13" s="96">
        <v>6</v>
      </c>
      <c r="M13" s="97">
        <v>4</v>
      </c>
      <c r="N13" s="125">
        <v>4</v>
      </c>
    </row>
    <row r="14" spans="1:14" ht="15">
      <c r="A14" s="126" t="s">
        <v>31</v>
      </c>
      <c r="B14" s="127" t="s">
        <v>22</v>
      </c>
      <c r="C14" s="36">
        <v>12407</v>
      </c>
      <c r="D14" s="128" t="s">
        <v>27</v>
      </c>
      <c r="E14" s="70">
        <v>6</v>
      </c>
      <c r="F14" s="72">
        <v>4</v>
      </c>
      <c r="H14" s="127" t="s">
        <v>31</v>
      </c>
      <c r="I14" s="129" t="s">
        <v>135</v>
      </c>
      <c r="J14" s="36">
        <v>12407</v>
      </c>
      <c r="K14" s="128" t="s">
        <v>27</v>
      </c>
      <c r="L14" s="118">
        <v>6</v>
      </c>
      <c r="M14" s="71">
        <v>4</v>
      </c>
      <c r="N14" s="119">
        <v>4</v>
      </c>
    </row>
    <row r="15" spans="1:14" ht="15.75" thickBot="1">
      <c r="A15" s="126" t="s">
        <v>14</v>
      </c>
      <c r="B15" s="130" t="s">
        <v>23</v>
      </c>
      <c r="C15" s="23">
        <v>12408</v>
      </c>
      <c r="D15" s="23" t="s">
        <v>29</v>
      </c>
      <c r="E15" s="102">
        <v>7.5</v>
      </c>
      <c r="F15" s="75">
        <v>5</v>
      </c>
      <c r="H15" s="127" t="s">
        <v>14</v>
      </c>
      <c r="I15" s="129" t="s">
        <v>23</v>
      </c>
      <c r="J15" s="36">
        <v>12408</v>
      </c>
      <c r="K15" s="36" t="s">
        <v>29</v>
      </c>
      <c r="L15" s="118">
        <v>7.5</v>
      </c>
      <c r="M15" s="131">
        <v>5</v>
      </c>
      <c r="N15" s="132">
        <v>5</v>
      </c>
    </row>
    <row r="16" spans="1:14" ht="15.75" thickBot="1">
      <c r="A16" s="126">
        <f>SUM(E13:E24)</f>
        <v>60</v>
      </c>
      <c r="B16" s="123" t="s">
        <v>24</v>
      </c>
      <c r="C16" s="37">
        <v>12411</v>
      </c>
      <c r="D16" s="37" t="s">
        <v>32</v>
      </c>
      <c r="E16" s="95">
        <v>4.5</v>
      </c>
      <c r="F16" s="78">
        <v>3</v>
      </c>
      <c r="H16" s="127">
        <f>SUM(L13:L24)</f>
        <v>60</v>
      </c>
      <c r="I16" s="133" t="s">
        <v>136</v>
      </c>
      <c r="J16" s="23">
        <v>12417</v>
      </c>
      <c r="K16" s="23" t="s">
        <v>25</v>
      </c>
      <c r="L16" s="103">
        <v>4.5</v>
      </c>
      <c r="M16" s="104">
        <v>4</v>
      </c>
      <c r="N16" s="121">
        <v>4</v>
      </c>
    </row>
    <row r="17" spans="1:14" ht="15">
      <c r="A17" s="126"/>
      <c r="B17" s="127"/>
      <c r="C17" s="36">
        <v>12410</v>
      </c>
      <c r="D17" s="36" t="s">
        <v>33</v>
      </c>
      <c r="E17" s="70">
        <v>4.5</v>
      </c>
      <c r="F17" s="72">
        <v>4</v>
      </c>
      <c r="H17" s="127"/>
      <c r="I17" s="123" t="s">
        <v>24</v>
      </c>
      <c r="J17" s="37">
        <v>12411</v>
      </c>
      <c r="K17" s="37" t="s">
        <v>32</v>
      </c>
      <c r="L17" s="96">
        <v>4.5</v>
      </c>
      <c r="M17" s="97">
        <v>3</v>
      </c>
      <c r="N17" s="125">
        <v>3</v>
      </c>
    </row>
    <row r="18" spans="1:14" ht="15">
      <c r="A18" s="126"/>
      <c r="B18" s="127"/>
      <c r="C18" s="36">
        <v>12412</v>
      </c>
      <c r="D18" s="36" t="s">
        <v>34</v>
      </c>
      <c r="E18" s="70">
        <v>4.5</v>
      </c>
      <c r="F18" s="72">
        <v>4</v>
      </c>
      <c r="H18" s="127"/>
      <c r="I18" s="127"/>
      <c r="J18" s="128">
        <v>12410</v>
      </c>
      <c r="K18" s="128" t="s">
        <v>33</v>
      </c>
      <c r="L18" s="134">
        <v>4.5</v>
      </c>
      <c r="M18" s="71">
        <v>4</v>
      </c>
      <c r="N18" s="119">
        <v>4</v>
      </c>
    </row>
    <row r="19" spans="1:14" ht="15.75" thickBot="1">
      <c r="A19" s="126"/>
      <c r="B19" s="130"/>
      <c r="C19" s="23">
        <v>12409</v>
      </c>
      <c r="D19" s="23" t="s">
        <v>35</v>
      </c>
      <c r="E19" s="102">
        <v>4.5</v>
      </c>
      <c r="F19" s="75">
        <v>5</v>
      </c>
      <c r="H19" s="127"/>
      <c r="I19" s="127"/>
      <c r="J19" s="36">
        <v>12412</v>
      </c>
      <c r="K19" s="36" t="s">
        <v>34</v>
      </c>
      <c r="L19" s="118">
        <v>4.5</v>
      </c>
      <c r="M19" s="71">
        <v>4</v>
      </c>
      <c r="N19" s="119">
        <v>4</v>
      </c>
    </row>
    <row r="20" spans="1:14" ht="15.75" thickBot="1">
      <c r="A20" s="126"/>
      <c r="B20" s="123" t="s">
        <v>26</v>
      </c>
      <c r="C20" s="37">
        <v>12416</v>
      </c>
      <c r="D20" s="37" t="s">
        <v>36</v>
      </c>
      <c r="E20" s="95">
        <v>4.5</v>
      </c>
      <c r="F20" s="78">
        <v>2</v>
      </c>
      <c r="H20" s="127"/>
      <c r="I20" s="130"/>
      <c r="J20" s="23">
        <v>12409</v>
      </c>
      <c r="K20" s="23" t="s">
        <v>35</v>
      </c>
      <c r="L20" s="103">
        <v>4.5</v>
      </c>
      <c r="M20" s="104">
        <v>5</v>
      </c>
      <c r="N20" s="121">
        <v>5</v>
      </c>
    </row>
    <row r="21" spans="1:14" ht="15">
      <c r="A21" s="126"/>
      <c r="B21" s="127"/>
      <c r="C21" s="36">
        <v>12414</v>
      </c>
      <c r="D21" s="36" t="s">
        <v>37</v>
      </c>
      <c r="E21" s="70">
        <v>4.5</v>
      </c>
      <c r="F21" s="72">
        <v>3</v>
      </c>
      <c r="H21" s="126"/>
      <c r="I21" s="123" t="s">
        <v>26</v>
      </c>
      <c r="J21" s="37">
        <v>12416</v>
      </c>
      <c r="K21" s="37" t="s">
        <v>36</v>
      </c>
      <c r="L21" s="96">
        <v>4.5</v>
      </c>
      <c r="M21" s="97">
        <v>2</v>
      </c>
      <c r="N21" s="125">
        <v>2</v>
      </c>
    </row>
    <row r="22" spans="1:14" ht="15">
      <c r="A22" s="126"/>
      <c r="B22" s="127"/>
      <c r="C22" s="36">
        <v>12415</v>
      </c>
      <c r="D22" s="36" t="s">
        <v>38</v>
      </c>
      <c r="E22" s="70">
        <v>4.5</v>
      </c>
      <c r="F22" s="72">
        <v>4</v>
      </c>
      <c r="H22" s="126"/>
      <c r="I22" s="127"/>
      <c r="J22" s="36">
        <v>12414</v>
      </c>
      <c r="K22" s="36" t="s">
        <v>37</v>
      </c>
      <c r="L22" s="118">
        <v>4.5</v>
      </c>
      <c r="M22" s="71">
        <v>3</v>
      </c>
      <c r="N22" s="119">
        <v>3</v>
      </c>
    </row>
    <row r="23" spans="1:14" ht="15.75" thickBot="1">
      <c r="A23" s="126"/>
      <c r="B23" s="130"/>
      <c r="C23" s="23">
        <v>12413</v>
      </c>
      <c r="D23" s="23" t="s">
        <v>39</v>
      </c>
      <c r="E23" s="102">
        <v>4.5</v>
      </c>
      <c r="F23" s="75">
        <v>5</v>
      </c>
      <c r="H23" s="126"/>
      <c r="I23" s="127"/>
      <c r="J23" s="36">
        <v>12415</v>
      </c>
      <c r="K23" s="36" t="s">
        <v>38</v>
      </c>
      <c r="L23" s="118">
        <v>4.5</v>
      </c>
      <c r="M23" s="71">
        <v>4</v>
      </c>
      <c r="N23" s="119">
        <v>4</v>
      </c>
    </row>
    <row r="24" spans="1:14" ht="15.75" thickBot="1">
      <c r="A24" s="135"/>
      <c r="B24" s="136" t="s">
        <v>25</v>
      </c>
      <c r="C24" s="137">
        <v>12417</v>
      </c>
      <c r="D24" s="137" t="s">
        <v>25</v>
      </c>
      <c r="E24" s="108">
        <v>4.5</v>
      </c>
      <c r="F24" s="109">
        <v>4</v>
      </c>
      <c r="H24" s="135"/>
      <c r="I24" s="130"/>
      <c r="J24" s="23">
        <v>12413</v>
      </c>
      <c r="K24" s="23" t="s">
        <v>39</v>
      </c>
      <c r="L24" s="103">
        <v>4.5</v>
      </c>
      <c r="M24" s="104">
        <v>5</v>
      </c>
      <c r="N24" s="121">
        <v>5</v>
      </c>
    </row>
    <row r="25" spans="1:14" ht="15">
      <c r="A25" s="138" t="s">
        <v>16</v>
      </c>
      <c r="B25" s="139" t="s">
        <v>16</v>
      </c>
      <c r="C25" s="79">
        <v>12419</v>
      </c>
      <c r="D25" s="79" t="s">
        <v>42</v>
      </c>
      <c r="E25" s="95">
        <v>4.5</v>
      </c>
      <c r="F25" s="78">
        <v>1</v>
      </c>
      <c r="H25" s="138" t="s">
        <v>16</v>
      </c>
      <c r="I25" s="139" t="s">
        <v>16</v>
      </c>
      <c r="J25" s="79">
        <v>12419</v>
      </c>
      <c r="K25" s="79" t="s">
        <v>42</v>
      </c>
      <c r="L25" s="96">
        <v>4.5</v>
      </c>
      <c r="M25" s="97">
        <v>1</v>
      </c>
      <c r="N25" s="125">
        <v>1</v>
      </c>
    </row>
    <row r="26" spans="1:14" ht="15">
      <c r="A26" s="140" t="s">
        <v>40</v>
      </c>
      <c r="B26" s="141" t="s">
        <v>15</v>
      </c>
      <c r="C26" s="35">
        <v>12418</v>
      </c>
      <c r="D26" s="35" t="s">
        <v>43</v>
      </c>
      <c r="E26" s="70">
        <v>4.5</v>
      </c>
      <c r="F26" s="72">
        <v>3</v>
      </c>
      <c r="H26" s="140" t="s">
        <v>40</v>
      </c>
      <c r="I26" s="141" t="s">
        <v>15</v>
      </c>
      <c r="J26" s="35">
        <v>12418</v>
      </c>
      <c r="K26" s="35" t="s">
        <v>43</v>
      </c>
      <c r="L26" s="118">
        <v>4.5</v>
      </c>
      <c r="M26" s="71">
        <v>3</v>
      </c>
      <c r="N26" s="119">
        <v>3</v>
      </c>
    </row>
    <row r="27" spans="1:14" ht="15.75" thickBot="1">
      <c r="A27" s="140" t="s">
        <v>41</v>
      </c>
      <c r="B27" s="142" t="s">
        <v>41</v>
      </c>
      <c r="C27" s="76">
        <v>12420</v>
      </c>
      <c r="D27" s="76" t="s">
        <v>44</v>
      </c>
      <c r="E27" s="102">
        <v>4.5</v>
      </c>
      <c r="F27" s="75">
        <v>3</v>
      </c>
      <c r="H27" s="140" t="s">
        <v>41</v>
      </c>
      <c r="I27" s="141" t="s">
        <v>41</v>
      </c>
      <c r="J27" s="18">
        <v>12420</v>
      </c>
      <c r="K27" s="18" t="s">
        <v>44</v>
      </c>
      <c r="L27" s="143">
        <v>4.5</v>
      </c>
      <c r="M27" s="104">
        <v>3</v>
      </c>
      <c r="N27" s="121">
        <v>3</v>
      </c>
    </row>
    <row r="28" spans="1:14" ht="15.75" thickBot="1">
      <c r="A28" s="140">
        <f>SUM(E25:E29)</f>
        <v>22.5</v>
      </c>
      <c r="B28" s="139" t="s">
        <v>47</v>
      </c>
      <c r="C28" s="144">
        <v>12421</v>
      </c>
      <c r="D28" s="144" t="s">
        <v>45</v>
      </c>
      <c r="E28" s="145">
        <v>4.5</v>
      </c>
      <c r="F28" s="146">
        <v>6</v>
      </c>
      <c r="H28" s="147">
        <f>SUM(L25:L32)</f>
        <v>39</v>
      </c>
      <c r="I28" s="124" t="s">
        <v>16</v>
      </c>
      <c r="J28" s="79">
        <v>12464</v>
      </c>
      <c r="K28" s="79" t="s">
        <v>111</v>
      </c>
      <c r="L28" s="96">
        <v>6</v>
      </c>
      <c r="M28" s="97">
        <v>5</v>
      </c>
      <c r="N28" s="148">
        <v>5</v>
      </c>
    </row>
    <row r="29" spans="1:14" ht="15.75" thickBot="1">
      <c r="A29" s="149"/>
      <c r="B29" s="150" t="s">
        <v>48</v>
      </c>
      <c r="C29" s="47">
        <v>12424</v>
      </c>
      <c r="D29" s="47" t="s">
        <v>46</v>
      </c>
      <c r="E29" s="108">
        <v>4.5</v>
      </c>
      <c r="F29" s="109">
        <v>5</v>
      </c>
      <c r="H29" s="140"/>
      <c r="I29" s="129" t="s">
        <v>137</v>
      </c>
      <c r="J29" s="35">
        <v>12450</v>
      </c>
      <c r="K29" s="35" t="s">
        <v>96</v>
      </c>
      <c r="L29" s="118">
        <v>6</v>
      </c>
      <c r="M29" s="151">
        <v>5</v>
      </c>
      <c r="N29" s="152">
        <v>7</v>
      </c>
    </row>
    <row r="30" spans="1:14" ht="15">
      <c r="A30" s="153" t="s">
        <v>53</v>
      </c>
      <c r="B30" s="154" t="s">
        <v>55</v>
      </c>
      <c r="C30" s="30">
        <v>12426</v>
      </c>
      <c r="D30" s="30" t="s">
        <v>49</v>
      </c>
      <c r="E30" s="95">
        <v>4.5</v>
      </c>
      <c r="F30" s="78">
        <v>6</v>
      </c>
      <c r="H30" s="140"/>
      <c r="I30" s="129" t="s">
        <v>138</v>
      </c>
      <c r="J30" s="35">
        <v>12426</v>
      </c>
      <c r="K30" s="155" t="s">
        <v>139</v>
      </c>
      <c r="L30" s="118">
        <v>4.5</v>
      </c>
      <c r="M30" s="71">
        <v>6</v>
      </c>
      <c r="N30" s="156">
        <v>6</v>
      </c>
    </row>
    <row r="31" spans="1:14" ht="15">
      <c r="A31" s="157" t="s">
        <v>91</v>
      </c>
      <c r="B31" s="158" t="s">
        <v>56</v>
      </c>
      <c r="C31" s="28">
        <v>13174</v>
      </c>
      <c r="D31" s="28" t="s">
        <v>51</v>
      </c>
      <c r="E31" s="70">
        <v>4.5</v>
      </c>
      <c r="F31" s="72">
        <v>7</v>
      </c>
      <c r="H31" s="140"/>
      <c r="I31" s="129" t="s">
        <v>40</v>
      </c>
      <c r="J31" s="155">
        <v>14124</v>
      </c>
      <c r="K31" s="155" t="s">
        <v>140</v>
      </c>
      <c r="L31" s="118">
        <v>4.5</v>
      </c>
      <c r="M31" s="151">
        <v>6</v>
      </c>
      <c r="N31" s="152" t="s">
        <v>235</v>
      </c>
    </row>
    <row r="32" spans="1:14" ht="15.75" thickBot="1">
      <c r="A32" s="157" t="s">
        <v>54</v>
      </c>
      <c r="B32" s="158" t="s">
        <v>57</v>
      </c>
      <c r="C32" s="28">
        <v>13175</v>
      </c>
      <c r="D32" s="28" t="s">
        <v>50</v>
      </c>
      <c r="E32" s="70">
        <v>4.5</v>
      </c>
      <c r="F32" s="72">
        <v>7</v>
      </c>
      <c r="H32" s="149"/>
      <c r="I32" s="129"/>
      <c r="J32" s="18">
        <v>12444</v>
      </c>
      <c r="K32" s="18" t="s">
        <v>84</v>
      </c>
      <c r="L32" s="143">
        <v>4.5</v>
      </c>
      <c r="M32" s="159">
        <v>6</v>
      </c>
      <c r="N32" s="160">
        <v>8</v>
      </c>
    </row>
    <row r="33" spans="1:14" ht="15.75" thickBot="1">
      <c r="A33" s="157" t="s">
        <v>14</v>
      </c>
      <c r="B33" s="161"/>
      <c r="C33" s="29">
        <v>12425</v>
      </c>
      <c r="D33" s="29" t="s">
        <v>52</v>
      </c>
      <c r="E33" s="102">
        <v>4.5</v>
      </c>
      <c r="F33" s="75">
        <v>8</v>
      </c>
      <c r="H33" s="153" t="s">
        <v>53</v>
      </c>
      <c r="I33" s="124" t="s">
        <v>54</v>
      </c>
      <c r="J33" s="162">
        <v>14122</v>
      </c>
      <c r="K33" s="30" t="s">
        <v>51</v>
      </c>
      <c r="L33" s="162">
        <v>6</v>
      </c>
      <c r="M33" s="97">
        <v>7</v>
      </c>
      <c r="N33" s="125">
        <v>7</v>
      </c>
    </row>
    <row r="34" spans="1:14" ht="15">
      <c r="A34" s="157">
        <f>SUM(E30:E42)</f>
        <v>58.5</v>
      </c>
      <c r="B34" s="154" t="s">
        <v>61</v>
      </c>
      <c r="C34" s="30">
        <v>12428</v>
      </c>
      <c r="D34" s="30" t="s">
        <v>58</v>
      </c>
      <c r="E34" s="95">
        <v>4.5</v>
      </c>
      <c r="F34" s="78">
        <v>5</v>
      </c>
      <c r="H34" s="157" t="s">
        <v>91</v>
      </c>
      <c r="I34" s="129" t="s">
        <v>14</v>
      </c>
      <c r="J34" s="28">
        <v>13175</v>
      </c>
      <c r="K34" s="28" t="s">
        <v>50</v>
      </c>
      <c r="L34" s="118">
        <v>4.5</v>
      </c>
      <c r="M34" s="71">
        <v>7</v>
      </c>
      <c r="N34" s="119">
        <v>7</v>
      </c>
    </row>
    <row r="35" spans="1:14" ht="15">
      <c r="A35" s="157"/>
      <c r="B35" s="158" t="s">
        <v>62</v>
      </c>
      <c r="C35" s="28">
        <v>12430</v>
      </c>
      <c r="D35" s="28" t="s">
        <v>59</v>
      </c>
      <c r="E35" s="70">
        <v>4.5</v>
      </c>
      <c r="F35" s="72">
        <v>6</v>
      </c>
      <c r="H35" s="157" t="s">
        <v>54</v>
      </c>
      <c r="I35" s="129"/>
      <c r="J35" s="28">
        <v>12425</v>
      </c>
      <c r="K35" s="28" t="s">
        <v>52</v>
      </c>
      <c r="L35" s="118">
        <v>4.5</v>
      </c>
      <c r="M35" s="163">
        <v>7</v>
      </c>
      <c r="N35" s="164">
        <v>8</v>
      </c>
    </row>
    <row r="36" spans="1:14" ht="15.75" thickBot="1">
      <c r="A36" s="157"/>
      <c r="B36" s="161" t="s">
        <v>23</v>
      </c>
      <c r="C36" s="29">
        <v>12429</v>
      </c>
      <c r="D36" s="29" t="s">
        <v>60</v>
      </c>
      <c r="E36" s="102">
        <v>4.5</v>
      </c>
      <c r="F36" s="75">
        <v>7</v>
      </c>
      <c r="H36" s="157" t="s">
        <v>14</v>
      </c>
      <c r="I36" s="129"/>
      <c r="J36" s="155">
        <v>14125</v>
      </c>
      <c r="K36" s="155" t="s">
        <v>141</v>
      </c>
      <c r="L36" s="118">
        <v>4.5</v>
      </c>
      <c r="M36" s="71">
        <v>6</v>
      </c>
      <c r="N36" s="119">
        <v>6</v>
      </c>
    </row>
    <row r="37" spans="1:14" ht="15">
      <c r="A37" s="157"/>
      <c r="B37" s="154" t="s">
        <v>69</v>
      </c>
      <c r="C37" s="30">
        <v>13172</v>
      </c>
      <c r="D37" s="30" t="s">
        <v>63</v>
      </c>
      <c r="E37" s="95">
        <v>4.5</v>
      </c>
      <c r="F37" s="78">
        <v>5</v>
      </c>
      <c r="H37" s="147">
        <f>SUM(L33:L42)</f>
        <v>48</v>
      </c>
      <c r="I37" s="129"/>
      <c r="J37" s="28">
        <v>12429</v>
      </c>
      <c r="K37" s="28" t="s">
        <v>60</v>
      </c>
      <c r="L37" s="118">
        <v>4.5</v>
      </c>
      <c r="M37" s="163">
        <v>6</v>
      </c>
      <c r="N37" s="152">
        <v>7</v>
      </c>
    </row>
    <row r="38" spans="1:14" ht="15">
      <c r="A38" s="157"/>
      <c r="B38" s="158" t="s">
        <v>70</v>
      </c>
      <c r="C38" s="28">
        <v>12433</v>
      </c>
      <c r="D38" s="28" t="s">
        <v>64</v>
      </c>
      <c r="E38" s="70">
        <v>4.5</v>
      </c>
      <c r="F38" s="72">
        <v>6</v>
      </c>
      <c r="H38" s="157"/>
      <c r="I38" s="129"/>
      <c r="J38" s="155">
        <v>14121</v>
      </c>
      <c r="K38" s="28" t="s">
        <v>63</v>
      </c>
      <c r="L38" s="155">
        <v>6</v>
      </c>
      <c r="M38" s="151">
        <v>7</v>
      </c>
      <c r="N38" s="165">
        <v>5</v>
      </c>
    </row>
    <row r="39" spans="1:14" ht="15">
      <c r="A39" s="157"/>
      <c r="B39" s="158" t="s">
        <v>71</v>
      </c>
      <c r="C39" s="28">
        <v>12434</v>
      </c>
      <c r="D39" s="28" t="s">
        <v>65</v>
      </c>
      <c r="E39" s="70">
        <v>4.5</v>
      </c>
      <c r="F39" s="72">
        <v>6</v>
      </c>
      <c r="H39" s="157"/>
      <c r="I39" s="129"/>
      <c r="J39" s="28">
        <v>12433</v>
      </c>
      <c r="K39" s="28" t="s">
        <v>64</v>
      </c>
      <c r="L39" s="118">
        <v>4.5</v>
      </c>
      <c r="M39" s="71">
        <v>6</v>
      </c>
      <c r="N39" s="119">
        <v>6</v>
      </c>
    </row>
    <row r="40" spans="1:14" ht="15">
      <c r="A40" s="157"/>
      <c r="B40" s="158" t="s">
        <v>72</v>
      </c>
      <c r="C40" s="28">
        <v>12431</v>
      </c>
      <c r="D40" s="28" t="s">
        <v>66</v>
      </c>
      <c r="E40" s="70">
        <v>4.5</v>
      </c>
      <c r="F40" s="72">
        <v>7</v>
      </c>
      <c r="H40" s="157"/>
      <c r="I40" s="129"/>
      <c r="J40" s="28">
        <v>12434</v>
      </c>
      <c r="K40" s="28" t="s">
        <v>65</v>
      </c>
      <c r="L40" s="118">
        <v>4.5</v>
      </c>
      <c r="M40" s="71">
        <v>6</v>
      </c>
      <c r="N40" s="119">
        <v>6</v>
      </c>
    </row>
    <row r="41" spans="1:14" ht="15">
      <c r="A41" s="157"/>
      <c r="B41" s="158"/>
      <c r="C41" s="28">
        <v>13173</v>
      </c>
      <c r="D41" s="28" t="s">
        <v>67</v>
      </c>
      <c r="E41" s="70">
        <v>4.5</v>
      </c>
      <c r="F41" s="72">
        <v>7</v>
      </c>
      <c r="H41" s="157"/>
      <c r="I41" s="129"/>
      <c r="J41" s="28">
        <v>13173</v>
      </c>
      <c r="K41" s="28" t="s">
        <v>67</v>
      </c>
      <c r="L41" s="118">
        <v>4.5</v>
      </c>
      <c r="M41" s="71">
        <v>7</v>
      </c>
      <c r="N41" s="119">
        <v>7</v>
      </c>
    </row>
    <row r="42" spans="1:14" ht="15.75" thickBot="1">
      <c r="A42" s="166"/>
      <c r="B42" s="161"/>
      <c r="C42" s="29">
        <v>12432</v>
      </c>
      <c r="D42" s="29" t="s">
        <v>68</v>
      </c>
      <c r="E42" s="102">
        <v>4.5</v>
      </c>
      <c r="F42" s="75">
        <v>8</v>
      </c>
      <c r="H42" s="166"/>
      <c r="I42" s="129"/>
      <c r="J42" s="167">
        <v>12432</v>
      </c>
      <c r="K42" s="167" t="s">
        <v>68</v>
      </c>
      <c r="L42" s="143">
        <v>4.5</v>
      </c>
      <c r="M42" s="168">
        <v>7</v>
      </c>
      <c r="N42" s="169">
        <v>8</v>
      </c>
    </row>
    <row r="43" spans="1:14" ht="15">
      <c r="A43" s="170" t="s">
        <v>53</v>
      </c>
      <c r="B43" s="171" t="s">
        <v>78</v>
      </c>
      <c r="C43" s="172">
        <v>12438</v>
      </c>
      <c r="D43" s="172" t="s">
        <v>73</v>
      </c>
      <c r="E43" s="95">
        <v>4.5</v>
      </c>
      <c r="F43" s="78">
        <v>5</v>
      </c>
      <c r="H43" s="170" t="s">
        <v>53</v>
      </c>
      <c r="I43" s="124" t="s">
        <v>110</v>
      </c>
      <c r="J43" s="172">
        <v>12438</v>
      </c>
      <c r="K43" s="172" t="s">
        <v>73</v>
      </c>
      <c r="L43" s="96">
        <v>4.5</v>
      </c>
      <c r="M43" s="173">
        <v>7</v>
      </c>
      <c r="N43" s="174">
        <v>5</v>
      </c>
    </row>
    <row r="44" spans="1:14" ht="15">
      <c r="A44" s="175" t="s">
        <v>91</v>
      </c>
      <c r="B44" s="176" t="s">
        <v>79</v>
      </c>
      <c r="C44" s="177">
        <v>12439</v>
      </c>
      <c r="D44" s="177" t="s">
        <v>76</v>
      </c>
      <c r="E44" s="70">
        <v>6</v>
      </c>
      <c r="F44" s="72">
        <v>6</v>
      </c>
      <c r="H44" s="175" t="s">
        <v>91</v>
      </c>
      <c r="I44" s="129" t="s">
        <v>142</v>
      </c>
      <c r="J44" s="177">
        <v>12439</v>
      </c>
      <c r="K44" s="177" t="s">
        <v>76</v>
      </c>
      <c r="L44" s="118">
        <v>6</v>
      </c>
      <c r="M44" s="71">
        <v>6</v>
      </c>
      <c r="N44" s="119">
        <v>6</v>
      </c>
    </row>
    <row r="45" spans="1:14" ht="15">
      <c r="A45" s="175" t="s">
        <v>26</v>
      </c>
      <c r="B45" s="176" t="s">
        <v>80</v>
      </c>
      <c r="C45" s="177">
        <v>12441</v>
      </c>
      <c r="D45" s="177" t="s">
        <v>74</v>
      </c>
      <c r="E45" s="70">
        <v>6</v>
      </c>
      <c r="F45" s="72">
        <v>6</v>
      </c>
      <c r="H45" s="175" t="s">
        <v>26</v>
      </c>
      <c r="I45" s="129"/>
      <c r="J45" s="177">
        <v>12441</v>
      </c>
      <c r="K45" s="177" t="s">
        <v>74</v>
      </c>
      <c r="L45" s="118">
        <v>6</v>
      </c>
      <c r="M45" s="71">
        <v>6</v>
      </c>
      <c r="N45" s="119">
        <v>6</v>
      </c>
    </row>
    <row r="46" spans="1:14" ht="15">
      <c r="A46" s="175">
        <f>SUM(E43:E53)</f>
        <v>58.5</v>
      </c>
      <c r="B46" s="176"/>
      <c r="C46" s="177">
        <v>12437</v>
      </c>
      <c r="D46" s="177" t="s">
        <v>77</v>
      </c>
      <c r="E46" s="70">
        <v>6</v>
      </c>
      <c r="F46" s="72">
        <v>7</v>
      </c>
      <c r="H46" s="147">
        <f>SUM(L43:L51)</f>
        <v>48</v>
      </c>
      <c r="I46" s="129"/>
      <c r="J46" s="177">
        <v>12437</v>
      </c>
      <c r="K46" s="177" t="s">
        <v>77</v>
      </c>
      <c r="L46" s="118">
        <v>6</v>
      </c>
      <c r="M46" s="71">
        <v>7</v>
      </c>
      <c r="N46" s="119">
        <v>7</v>
      </c>
    </row>
    <row r="47" spans="1:14" ht="15.75" thickBot="1">
      <c r="A47" s="175"/>
      <c r="B47" s="178"/>
      <c r="C47" s="179">
        <v>12440</v>
      </c>
      <c r="D47" s="179" t="s">
        <v>75</v>
      </c>
      <c r="E47" s="102">
        <v>4.5</v>
      </c>
      <c r="F47" s="75">
        <v>7</v>
      </c>
      <c r="H47" s="175"/>
      <c r="I47" s="129"/>
      <c r="J47" s="177">
        <v>12440</v>
      </c>
      <c r="K47" s="177" t="s">
        <v>75</v>
      </c>
      <c r="L47" s="118">
        <v>4.5</v>
      </c>
      <c r="M47" s="71">
        <v>7</v>
      </c>
      <c r="N47" s="119">
        <v>7</v>
      </c>
    </row>
    <row r="48" spans="1:14" ht="15">
      <c r="A48" s="175"/>
      <c r="B48" s="171" t="s">
        <v>78</v>
      </c>
      <c r="C48" s="172">
        <v>12443</v>
      </c>
      <c r="D48" s="172" t="s">
        <v>81</v>
      </c>
      <c r="E48" s="95">
        <v>6</v>
      </c>
      <c r="F48" s="78">
        <v>6</v>
      </c>
      <c r="H48" s="175"/>
      <c r="I48" s="129"/>
      <c r="J48" s="155">
        <v>14123</v>
      </c>
      <c r="K48" s="177" t="s">
        <v>81</v>
      </c>
      <c r="L48" s="155">
        <v>4.5</v>
      </c>
      <c r="M48" s="163">
        <v>7</v>
      </c>
      <c r="N48" s="165">
        <v>6</v>
      </c>
    </row>
    <row r="49" spans="1:14" ht="15">
      <c r="A49" s="175"/>
      <c r="B49" s="176" t="s">
        <v>79</v>
      </c>
      <c r="C49" s="177">
        <v>12445</v>
      </c>
      <c r="D49" s="177" t="s">
        <v>82</v>
      </c>
      <c r="E49" s="70">
        <v>4.5</v>
      </c>
      <c r="F49" s="72">
        <v>7</v>
      </c>
      <c r="H49" s="175"/>
      <c r="I49" s="129"/>
      <c r="J49" s="177">
        <v>12445</v>
      </c>
      <c r="K49" s="177" t="s">
        <v>82</v>
      </c>
      <c r="L49" s="118">
        <v>4.5</v>
      </c>
      <c r="M49" s="71">
        <v>7</v>
      </c>
      <c r="N49" s="119">
        <v>7</v>
      </c>
    </row>
    <row r="50" spans="1:14" ht="15">
      <c r="A50" s="175"/>
      <c r="B50" s="176" t="s">
        <v>87</v>
      </c>
      <c r="C50" s="177">
        <v>12442</v>
      </c>
      <c r="D50" s="177" t="s">
        <v>83</v>
      </c>
      <c r="E50" s="70">
        <v>4.5</v>
      </c>
      <c r="F50" s="72">
        <v>8</v>
      </c>
      <c r="H50" s="175"/>
      <c r="I50" s="129"/>
      <c r="J50" s="177">
        <v>12447</v>
      </c>
      <c r="K50" s="177" t="s">
        <v>85</v>
      </c>
      <c r="L50" s="118">
        <v>6</v>
      </c>
      <c r="M50" s="163">
        <v>6</v>
      </c>
      <c r="N50" s="164">
        <v>5</v>
      </c>
    </row>
    <row r="51" spans="1:14" ht="15.75" thickBot="1">
      <c r="A51" s="175"/>
      <c r="B51" s="178"/>
      <c r="C51" s="179">
        <v>12444</v>
      </c>
      <c r="D51" s="179" t="s">
        <v>84</v>
      </c>
      <c r="E51" s="102">
        <v>4.5</v>
      </c>
      <c r="F51" s="75">
        <v>8</v>
      </c>
      <c r="H51" s="180"/>
      <c r="I51" s="129"/>
      <c r="J51" s="181">
        <v>12446</v>
      </c>
      <c r="K51" s="181" t="s">
        <v>86</v>
      </c>
      <c r="L51" s="143">
        <v>6</v>
      </c>
      <c r="M51" s="104">
        <v>7</v>
      </c>
      <c r="N51" s="121">
        <v>7</v>
      </c>
    </row>
    <row r="52" spans="1:14" ht="15">
      <c r="A52" s="175"/>
      <c r="B52" s="171" t="s">
        <v>88</v>
      </c>
      <c r="C52" s="172">
        <v>12447</v>
      </c>
      <c r="D52" s="172" t="s">
        <v>85</v>
      </c>
      <c r="E52" s="95">
        <v>6</v>
      </c>
      <c r="F52" s="78">
        <v>5</v>
      </c>
      <c r="H52" s="182" t="s">
        <v>53</v>
      </c>
      <c r="I52" s="124" t="s">
        <v>110</v>
      </c>
      <c r="J52" s="51">
        <v>12449</v>
      </c>
      <c r="K52" s="51" t="s">
        <v>90</v>
      </c>
      <c r="L52" s="96">
        <v>6</v>
      </c>
      <c r="M52" s="173">
        <v>7</v>
      </c>
      <c r="N52" s="174">
        <v>5</v>
      </c>
    </row>
    <row r="53" spans="1:14" ht="15.75" thickBot="1">
      <c r="A53" s="180"/>
      <c r="B53" s="178" t="s">
        <v>89</v>
      </c>
      <c r="C53" s="179">
        <v>12446</v>
      </c>
      <c r="D53" s="179" t="s">
        <v>86</v>
      </c>
      <c r="E53" s="102">
        <v>6</v>
      </c>
      <c r="F53" s="75">
        <v>7</v>
      </c>
      <c r="H53" s="183" t="s">
        <v>91</v>
      </c>
      <c r="I53" s="129" t="s">
        <v>109</v>
      </c>
      <c r="J53" s="49">
        <v>12456</v>
      </c>
      <c r="K53" s="49" t="s">
        <v>97</v>
      </c>
      <c r="L53" s="118">
        <v>4.5</v>
      </c>
      <c r="M53" s="163">
        <v>6</v>
      </c>
      <c r="N53" s="164">
        <v>5</v>
      </c>
    </row>
    <row r="54" spans="1:14" ht="15">
      <c r="A54" s="182" t="s">
        <v>53</v>
      </c>
      <c r="B54" s="184" t="s">
        <v>98</v>
      </c>
      <c r="C54" s="51">
        <v>12449</v>
      </c>
      <c r="D54" s="51" t="s">
        <v>90</v>
      </c>
      <c r="E54" s="95">
        <v>6</v>
      </c>
      <c r="F54" s="78">
        <v>5</v>
      </c>
      <c r="H54" s="183" t="s">
        <v>110</v>
      </c>
      <c r="I54" s="129"/>
      <c r="J54" s="49">
        <v>12448</v>
      </c>
      <c r="K54" s="49" t="s">
        <v>92</v>
      </c>
      <c r="L54" s="118">
        <v>4.5</v>
      </c>
      <c r="M54" s="71">
        <v>6</v>
      </c>
      <c r="N54" s="119">
        <v>6</v>
      </c>
    </row>
    <row r="55" spans="1:14" ht="15">
      <c r="A55" s="183" t="s">
        <v>91</v>
      </c>
      <c r="B55" s="185" t="s">
        <v>99</v>
      </c>
      <c r="C55" s="49">
        <v>12456</v>
      </c>
      <c r="D55" s="49" t="s">
        <v>97</v>
      </c>
      <c r="E55" s="70">
        <v>4.5</v>
      </c>
      <c r="F55" s="72">
        <v>5</v>
      </c>
      <c r="H55" s="183" t="s">
        <v>109</v>
      </c>
      <c r="I55" s="129"/>
      <c r="J55" s="49">
        <v>12452</v>
      </c>
      <c r="K55" s="49" t="s">
        <v>93</v>
      </c>
      <c r="L55" s="118">
        <v>4.5</v>
      </c>
      <c r="M55" s="71">
        <v>6</v>
      </c>
      <c r="N55" s="119">
        <v>6</v>
      </c>
    </row>
    <row r="56" spans="1:14" ht="15">
      <c r="A56" s="183" t="s">
        <v>110</v>
      </c>
      <c r="B56" s="185" t="s">
        <v>100</v>
      </c>
      <c r="C56" s="49">
        <v>12448</v>
      </c>
      <c r="D56" s="49" t="s">
        <v>92</v>
      </c>
      <c r="E56" s="70">
        <v>4.5</v>
      </c>
      <c r="F56" s="72">
        <v>6</v>
      </c>
      <c r="H56" s="147">
        <f>SUM(L52:L61)</f>
        <v>48</v>
      </c>
      <c r="I56" s="129"/>
      <c r="J56" s="49">
        <v>12453</v>
      </c>
      <c r="K56" s="49" t="s">
        <v>94</v>
      </c>
      <c r="L56" s="118">
        <v>4.5</v>
      </c>
      <c r="M56" s="71">
        <v>6</v>
      </c>
      <c r="N56" s="119">
        <v>6</v>
      </c>
    </row>
    <row r="57" spans="1:14" ht="15">
      <c r="A57" s="183" t="s">
        <v>109</v>
      </c>
      <c r="B57" s="185" t="s">
        <v>101</v>
      </c>
      <c r="C57" s="49">
        <v>12452</v>
      </c>
      <c r="D57" s="49" t="s">
        <v>93</v>
      </c>
      <c r="E57" s="70">
        <v>4.5</v>
      </c>
      <c r="F57" s="72">
        <v>6</v>
      </c>
      <c r="H57" s="183"/>
      <c r="I57" s="129"/>
      <c r="J57" s="49">
        <v>12455</v>
      </c>
      <c r="K57" s="49" t="s">
        <v>95</v>
      </c>
      <c r="L57" s="118">
        <v>6</v>
      </c>
      <c r="M57" s="163">
        <v>7</v>
      </c>
      <c r="N57" s="165">
        <v>6</v>
      </c>
    </row>
    <row r="58" spans="1:14" ht="15">
      <c r="A58" s="183">
        <f>SUM(E54:E65)</f>
        <v>58.5</v>
      </c>
      <c r="B58" s="185"/>
      <c r="C58" s="49">
        <v>12453</v>
      </c>
      <c r="D58" s="49" t="s">
        <v>94</v>
      </c>
      <c r="E58" s="70">
        <v>4.5</v>
      </c>
      <c r="F58" s="72">
        <v>6</v>
      </c>
      <c r="H58" s="183"/>
      <c r="I58" s="129"/>
      <c r="J58" s="49">
        <v>12451</v>
      </c>
      <c r="K58" s="49" t="s">
        <v>102</v>
      </c>
      <c r="L58" s="118">
        <v>4.5</v>
      </c>
      <c r="M58" s="71">
        <v>7</v>
      </c>
      <c r="N58" s="119">
        <v>7</v>
      </c>
    </row>
    <row r="59" spans="1:14" ht="15">
      <c r="A59" s="183"/>
      <c r="B59" s="185"/>
      <c r="C59" s="49">
        <v>12455</v>
      </c>
      <c r="D59" s="49" t="s">
        <v>95</v>
      </c>
      <c r="E59" s="70">
        <v>6</v>
      </c>
      <c r="F59" s="72">
        <v>6</v>
      </c>
      <c r="H59" s="183"/>
      <c r="I59" s="129"/>
      <c r="J59" s="49">
        <v>12454</v>
      </c>
      <c r="K59" s="49" t="s">
        <v>103</v>
      </c>
      <c r="L59" s="118">
        <v>4.5</v>
      </c>
      <c r="M59" s="71">
        <v>7</v>
      </c>
      <c r="N59" s="119">
        <v>7</v>
      </c>
    </row>
    <row r="60" spans="1:14" ht="15">
      <c r="A60" s="183"/>
      <c r="B60" s="185"/>
      <c r="C60" s="49">
        <v>12450</v>
      </c>
      <c r="D60" s="49" t="s">
        <v>96</v>
      </c>
      <c r="E60" s="70">
        <v>6</v>
      </c>
      <c r="F60" s="72">
        <v>7</v>
      </c>
      <c r="H60" s="183"/>
      <c r="I60" s="129"/>
      <c r="J60" s="49">
        <v>12462</v>
      </c>
      <c r="K60" s="49" t="s">
        <v>104</v>
      </c>
      <c r="L60" s="118">
        <v>4.5</v>
      </c>
      <c r="M60" s="71">
        <v>7</v>
      </c>
      <c r="N60" s="119">
        <v>7</v>
      </c>
    </row>
    <row r="61" spans="1:14" ht="15.75" thickBot="1">
      <c r="A61" s="183"/>
      <c r="B61" s="185"/>
      <c r="C61" s="49">
        <v>12451</v>
      </c>
      <c r="D61" s="49" t="s">
        <v>102</v>
      </c>
      <c r="E61" s="70">
        <v>4.5</v>
      </c>
      <c r="F61" s="72">
        <v>7</v>
      </c>
      <c r="H61" s="186"/>
      <c r="I61" s="129"/>
      <c r="J61" s="187">
        <v>12461</v>
      </c>
      <c r="K61" s="187" t="s">
        <v>106</v>
      </c>
      <c r="L61" s="143">
        <v>4.5</v>
      </c>
      <c r="M61" s="168">
        <v>7</v>
      </c>
      <c r="N61" s="169">
        <v>8</v>
      </c>
    </row>
    <row r="62" spans="1:14" ht="15.75" thickBot="1">
      <c r="A62" s="183"/>
      <c r="B62" s="188"/>
      <c r="C62" s="50">
        <v>12454</v>
      </c>
      <c r="D62" s="50" t="s">
        <v>103</v>
      </c>
      <c r="E62" s="102">
        <v>4.5</v>
      </c>
      <c r="F62" s="75">
        <v>7</v>
      </c>
      <c r="H62" s="189" t="s">
        <v>53</v>
      </c>
      <c r="I62" s="124" t="s">
        <v>110</v>
      </c>
      <c r="J62" s="60">
        <v>12463</v>
      </c>
      <c r="K62" s="60" t="s">
        <v>112</v>
      </c>
      <c r="L62" s="96">
        <v>4.5</v>
      </c>
      <c r="M62" s="115">
        <v>7</v>
      </c>
      <c r="N62" s="174">
        <v>6</v>
      </c>
    </row>
    <row r="63" spans="1:14" ht="15">
      <c r="A63" s="183"/>
      <c r="B63" s="184" t="s">
        <v>53</v>
      </c>
      <c r="C63" s="51">
        <v>12462</v>
      </c>
      <c r="D63" s="51" t="s">
        <v>104</v>
      </c>
      <c r="E63" s="95">
        <v>4.5</v>
      </c>
      <c r="F63" s="78">
        <v>7</v>
      </c>
      <c r="H63" s="190" t="s">
        <v>91</v>
      </c>
      <c r="I63" s="129" t="s">
        <v>143</v>
      </c>
      <c r="J63" s="58">
        <v>12466</v>
      </c>
      <c r="K63" s="58" t="s">
        <v>113</v>
      </c>
      <c r="L63" s="118">
        <v>6</v>
      </c>
      <c r="M63" s="151">
        <v>7</v>
      </c>
      <c r="N63" s="165">
        <v>5</v>
      </c>
    </row>
    <row r="64" spans="1:14" ht="15">
      <c r="A64" s="183"/>
      <c r="B64" s="185" t="s">
        <v>107</v>
      </c>
      <c r="C64" s="49">
        <v>12457</v>
      </c>
      <c r="D64" s="49" t="s">
        <v>105</v>
      </c>
      <c r="E64" s="70">
        <v>4.5</v>
      </c>
      <c r="F64" s="72">
        <v>8</v>
      </c>
      <c r="H64" s="190" t="s">
        <v>124</v>
      </c>
      <c r="I64" s="129"/>
      <c r="J64" s="58">
        <v>12465</v>
      </c>
      <c r="K64" s="58" t="s">
        <v>117</v>
      </c>
      <c r="L64" s="118">
        <v>6</v>
      </c>
      <c r="M64" s="71">
        <v>6</v>
      </c>
      <c r="N64" s="119">
        <v>6</v>
      </c>
    </row>
    <row r="65" spans="1:14" ht="15.75" thickBot="1">
      <c r="A65" s="186"/>
      <c r="B65" s="188" t="s">
        <v>108</v>
      </c>
      <c r="C65" s="50">
        <v>12461</v>
      </c>
      <c r="D65" s="50" t="s">
        <v>106</v>
      </c>
      <c r="E65" s="102">
        <v>4.5</v>
      </c>
      <c r="F65" s="75">
        <v>8</v>
      </c>
      <c r="H65" s="190" t="s">
        <v>125</v>
      </c>
      <c r="I65" s="129"/>
      <c r="J65" s="58">
        <v>12468</v>
      </c>
      <c r="K65" s="58" t="s">
        <v>121</v>
      </c>
      <c r="L65" s="118">
        <v>4.5</v>
      </c>
      <c r="M65" s="71">
        <v>7</v>
      </c>
      <c r="N65" s="119">
        <v>7</v>
      </c>
    </row>
    <row r="66" spans="1:14" ht="15">
      <c r="A66" s="189" t="s">
        <v>53</v>
      </c>
      <c r="B66" s="191" t="s">
        <v>61</v>
      </c>
      <c r="C66" s="60">
        <v>12464</v>
      </c>
      <c r="D66" s="60" t="s">
        <v>111</v>
      </c>
      <c r="E66" s="95">
        <v>6</v>
      </c>
      <c r="F66" s="78">
        <v>5</v>
      </c>
      <c r="H66" s="147">
        <f>SUM(L62:L70)</f>
        <v>48</v>
      </c>
      <c r="I66" s="129"/>
      <c r="J66" s="58">
        <v>12467</v>
      </c>
      <c r="K66" s="58" t="s">
        <v>123</v>
      </c>
      <c r="L66" s="118">
        <v>4.5</v>
      </c>
      <c r="M66" s="163">
        <v>7</v>
      </c>
      <c r="N66" s="164">
        <v>8</v>
      </c>
    </row>
    <row r="67" spans="1:14" ht="15.75" thickBot="1">
      <c r="A67" s="190" t="s">
        <v>91</v>
      </c>
      <c r="B67" s="192" t="s">
        <v>114</v>
      </c>
      <c r="C67" s="59">
        <v>12463</v>
      </c>
      <c r="D67" s="59" t="s">
        <v>112</v>
      </c>
      <c r="E67" s="102">
        <v>4.5</v>
      </c>
      <c r="F67" s="75">
        <v>6</v>
      </c>
      <c r="H67" s="190"/>
      <c r="I67" s="129"/>
      <c r="J67" s="58">
        <v>12471</v>
      </c>
      <c r="K67" s="58" t="s">
        <v>128</v>
      </c>
      <c r="L67" s="118">
        <v>6</v>
      </c>
      <c r="M67" s="71">
        <v>6</v>
      </c>
      <c r="N67" s="119">
        <v>6</v>
      </c>
    </row>
    <row r="68" spans="1:14" ht="15">
      <c r="A68" s="190" t="s">
        <v>124</v>
      </c>
      <c r="B68" s="191" t="s">
        <v>115</v>
      </c>
      <c r="C68" s="60">
        <v>12466</v>
      </c>
      <c r="D68" s="60" t="s">
        <v>113</v>
      </c>
      <c r="E68" s="95">
        <v>6</v>
      </c>
      <c r="F68" s="78">
        <v>5</v>
      </c>
      <c r="H68" s="190"/>
      <c r="I68" s="129"/>
      <c r="J68" s="58">
        <v>12472</v>
      </c>
      <c r="K68" s="58" t="s">
        <v>129</v>
      </c>
      <c r="L68" s="118">
        <v>6</v>
      </c>
      <c r="M68" s="71">
        <v>7</v>
      </c>
      <c r="N68" s="119">
        <v>7</v>
      </c>
    </row>
    <row r="69" spans="1:14" ht="15.75" thickBot="1">
      <c r="A69" s="190" t="s">
        <v>125</v>
      </c>
      <c r="B69" s="192" t="s">
        <v>116</v>
      </c>
      <c r="C69" s="59">
        <v>12465</v>
      </c>
      <c r="D69" s="59" t="s">
        <v>117</v>
      </c>
      <c r="E69" s="102">
        <v>6</v>
      </c>
      <c r="F69" s="75">
        <v>6</v>
      </c>
      <c r="H69" s="190"/>
      <c r="I69" s="129"/>
      <c r="J69" s="58">
        <v>12473</v>
      </c>
      <c r="K69" s="58" t="s">
        <v>233</v>
      </c>
      <c r="L69" s="118">
        <v>6</v>
      </c>
      <c r="M69" s="163">
        <v>6</v>
      </c>
      <c r="N69" s="152">
        <v>7</v>
      </c>
    </row>
    <row r="70" spans="1:14" ht="15.75" thickBot="1">
      <c r="A70" s="190">
        <f>SUM(E66:E76)</f>
        <v>58.5</v>
      </c>
      <c r="B70" s="191" t="s">
        <v>118</v>
      </c>
      <c r="C70" s="60">
        <v>12468</v>
      </c>
      <c r="D70" s="60" t="s">
        <v>121</v>
      </c>
      <c r="E70" s="95">
        <v>4.5</v>
      </c>
      <c r="F70" s="78">
        <v>7</v>
      </c>
      <c r="H70" s="193"/>
      <c r="I70" s="133"/>
      <c r="J70" s="59">
        <v>12470</v>
      </c>
      <c r="K70" s="59" t="s">
        <v>130</v>
      </c>
      <c r="L70" s="103">
        <v>4.5</v>
      </c>
      <c r="M70" s="168">
        <v>7</v>
      </c>
      <c r="N70" s="169">
        <v>8</v>
      </c>
    </row>
    <row r="71" spans="1:14" ht="15.75" thickBot="1">
      <c r="A71" s="190"/>
      <c r="B71" s="194" t="s">
        <v>119</v>
      </c>
      <c r="C71" s="58">
        <v>12469</v>
      </c>
      <c r="D71" s="58" t="s">
        <v>122</v>
      </c>
      <c r="E71" s="70">
        <v>4.5</v>
      </c>
      <c r="F71" s="72">
        <v>7</v>
      </c>
      <c r="H71" s="195" t="s">
        <v>145</v>
      </c>
      <c r="I71" s="196" t="s">
        <v>131</v>
      </c>
      <c r="J71" s="197">
        <v>12483</v>
      </c>
      <c r="K71" s="197" t="s">
        <v>131</v>
      </c>
      <c r="L71" s="198">
        <v>12</v>
      </c>
      <c r="M71" s="110">
        <v>8</v>
      </c>
      <c r="N71" s="199">
        <v>8</v>
      </c>
    </row>
    <row r="72" spans="1:14" ht="15.75" thickBot="1">
      <c r="A72" s="190"/>
      <c r="B72" s="192" t="s">
        <v>120</v>
      </c>
      <c r="C72" s="59">
        <v>12467</v>
      </c>
      <c r="D72" s="59" t="s">
        <v>123</v>
      </c>
      <c r="E72" s="102">
        <v>4.5</v>
      </c>
      <c r="F72" s="75">
        <v>8</v>
      </c>
      <c r="H72" s="200" t="s">
        <v>133</v>
      </c>
      <c r="I72" s="201" t="s">
        <v>134</v>
      </c>
      <c r="J72" s="202">
        <v>12431</v>
      </c>
      <c r="K72" s="77" t="s">
        <v>66</v>
      </c>
      <c r="L72" s="96">
        <v>4.5</v>
      </c>
      <c r="M72" s="115">
        <v>8</v>
      </c>
      <c r="N72" s="116">
        <v>7</v>
      </c>
    </row>
    <row r="73" spans="1:14" ht="15">
      <c r="A73" s="190"/>
      <c r="B73" s="191" t="s">
        <v>126</v>
      </c>
      <c r="C73" s="60">
        <v>12471</v>
      </c>
      <c r="D73" s="60" t="s">
        <v>128</v>
      </c>
      <c r="E73" s="95">
        <v>6</v>
      </c>
      <c r="F73" s="78">
        <v>6</v>
      </c>
      <c r="H73" s="147">
        <f>SUM(L72:L75)</f>
        <v>18</v>
      </c>
      <c r="I73" s="203"/>
      <c r="J73" s="73">
        <v>12457</v>
      </c>
      <c r="K73" s="73" t="s">
        <v>105</v>
      </c>
      <c r="L73" s="118">
        <v>4.5</v>
      </c>
      <c r="M73" s="291">
        <v>8</v>
      </c>
      <c r="N73" s="119">
        <v>8</v>
      </c>
    </row>
    <row r="74" spans="1:14" ht="15">
      <c r="A74" s="190"/>
      <c r="B74" s="194" t="s">
        <v>127</v>
      </c>
      <c r="C74" s="58">
        <v>12472</v>
      </c>
      <c r="D74" s="58" t="s">
        <v>129</v>
      </c>
      <c r="E74" s="70">
        <v>6</v>
      </c>
      <c r="F74" s="72">
        <v>7</v>
      </c>
      <c r="H74" s="204"/>
      <c r="I74" s="203"/>
      <c r="J74" s="73">
        <v>12421</v>
      </c>
      <c r="K74" s="155" t="s">
        <v>45</v>
      </c>
      <c r="L74" s="118">
        <v>4.5</v>
      </c>
      <c r="M74" s="151">
        <v>8</v>
      </c>
      <c r="N74" s="165">
        <v>6</v>
      </c>
    </row>
    <row r="75" spans="1:14" ht="15.75" thickBot="1">
      <c r="A75" s="190"/>
      <c r="B75" s="194" t="s">
        <v>120</v>
      </c>
      <c r="C75" s="58">
        <v>12473</v>
      </c>
      <c r="D75" s="58" t="s">
        <v>233</v>
      </c>
      <c r="E75" s="70">
        <v>6</v>
      </c>
      <c r="F75" s="72">
        <v>7</v>
      </c>
      <c r="H75" s="205"/>
      <c r="I75" s="206"/>
      <c r="J75" s="207">
        <v>12424</v>
      </c>
      <c r="K75" s="74" t="s">
        <v>46</v>
      </c>
      <c r="L75" s="103">
        <v>4.5</v>
      </c>
      <c r="M75" s="168">
        <v>8</v>
      </c>
      <c r="N75" s="208">
        <v>5</v>
      </c>
    </row>
    <row r="76" spans="1:9" ht="15.75" thickBot="1">
      <c r="A76" s="193"/>
      <c r="B76" s="192"/>
      <c r="C76" s="59">
        <v>12470</v>
      </c>
      <c r="D76" s="59" t="s">
        <v>130</v>
      </c>
      <c r="E76" s="102">
        <v>4.5</v>
      </c>
      <c r="F76" s="75">
        <v>8</v>
      </c>
      <c r="H76" s="209" t="s">
        <v>132</v>
      </c>
      <c r="I76" s="210">
        <f>H5+H16+H28+H37+L71+H73</f>
        <v>240</v>
      </c>
    </row>
    <row r="77" spans="1:6" ht="15.75" thickBot="1">
      <c r="A77" s="211" t="s">
        <v>145</v>
      </c>
      <c r="B77" s="212" t="s">
        <v>131</v>
      </c>
      <c r="C77" s="213">
        <v>12483</v>
      </c>
      <c r="D77" s="213" t="s">
        <v>131</v>
      </c>
      <c r="E77" s="108">
        <v>12</v>
      </c>
      <c r="F77" s="109">
        <v>8</v>
      </c>
    </row>
    <row r="78" spans="1:6" ht="15.75" thickBot="1">
      <c r="A78" s="214" t="s">
        <v>144</v>
      </c>
      <c r="B78" s="215" t="s">
        <v>134</v>
      </c>
      <c r="C78" s="216"/>
      <c r="D78" s="216"/>
      <c r="E78" s="217">
        <v>24</v>
      </c>
      <c r="F78" s="109"/>
    </row>
    <row r="79" spans="1:2" ht="15.75" thickBot="1">
      <c r="A79" s="218" t="s">
        <v>132</v>
      </c>
      <c r="B79" s="219">
        <f>A5+A16+A28+A34+E77+E78</f>
        <v>240</v>
      </c>
    </row>
  </sheetData>
  <sheetProtection algorithmName="SHA-512" hashValue="3slbA+3UG8z4A3G4jaGpw3l8NyP0IJo8Jg1kvWvYlfYkA+EkrcDDfPpTreZVC9iY+hyuqC12mc9lTPd/mui7Cw==" saltValue="5CoUkA9q8Ebao0yMnZjClQ==" spinCount="100000" sheet="1" objects="1" scenarios="1"/>
  <printOptions/>
  <pageMargins left="0.7" right="0.7" top="0.75" bottom="0.75" header="0.3" footer="0.3"/>
  <pageSetup fitToHeight="1" fitToWidth="1" horizontalDpi="600" verticalDpi="600" orientation="portrait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workbookViewId="0" topLeftCell="A1">
      <selection activeCell="M11" sqref="M11"/>
    </sheetView>
  </sheetViews>
  <sheetFormatPr defaultColWidth="11.421875" defaultRowHeight="15"/>
  <cols>
    <col min="1" max="1" width="4.57421875" style="7" customWidth="1"/>
    <col min="2" max="2" width="7.28125" style="7" customWidth="1"/>
    <col min="3" max="3" width="14.421875" style="7" bestFit="1" customWidth="1"/>
    <col min="4" max="4" width="5.140625" style="7" bestFit="1" customWidth="1"/>
    <col min="5" max="5" width="7.00390625" style="7" customWidth="1"/>
    <col min="6" max="6" width="13.8515625" style="7" bestFit="1" customWidth="1"/>
    <col min="7" max="7" width="5.140625" style="7" bestFit="1" customWidth="1"/>
    <col min="8" max="9" width="5.140625" style="7" customWidth="1"/>
    <col min="10" max="10" width="6.00390625" style="7" customWidth="1"/>
    <col min="11" max="11" width="14.421875" style="7" bestFit="1" customWidth="1"/>
    <col min="12" max="12" width="5.140625" style="7" bestFit="1" customWidth="1"/>
    <col min="13" max="13" width="7.140625" style="7" customWidth="1"/>
    <col min="14" max="14" width="11.421875" style="7" customWidth="1"/>
    <col min="15" max="15" width="5.140625" style="7" bestFit="1" customWidth="1"/>
    <col min="16" max="20" width="11.421875" style="7" customWidth="1"/>
    <col min="21" max="21" width="10.28125" style="7" bestFit="1" customWidth="1"/>
    <col min="22" max="22" width="6.00390625" style="7" customWidth="1"/>
    <col min="23" max="23" width="12.7109375" style="7" bestFit="1" customWidth="1"/>
    <col min="24" max="24" width="6.57421875" style="7" bestFit="1" customWidth="1"/>
    <col min="25" max="25" width="8.8515625" style="7" customWidth="1"/>
    <col min="26" max="26" width="11.421875" style="7" customWidth="1"/>
    <col min="27" max="27" width="5.140625" style="7" bestFit="1" customWidth="1"/>
    <col min="28" max="16384" width="11.421875" style="7" customWidth="1"/>
  </cols>
  <sheetData>
    <row r="1" spans="2:15" ht="15">
      <c r="B1" s="261" t="s">
        <v>276</v>
      </c>
      <c r="C1" s="262"/>
      <c r="D1" s="263"/>
      <c r="E1" s="261" t="s">
        <v>277</v>
      </c>
      <c r="F1" s="262"/>
      <c r="G1" s="263"/>
      <c r="H1" s="27"/>
      <c r="I1" s="27"/>
      <c r="J1" s="261" t="s">
        <v>276</v>
      </c>
      <c r="K1" s="262"/>
      <c r="L1" s="263"/>
      <c r="M1" s="261" t="s">
        <v>277</v>
      </c>
      <c r="N1" s="262"/>
      <c r="O1" s="263"/>
    </row>
    <row r="2" spans="2:15" ht="15">
      <c r="B2" s="226" t="s">
        <v>230</v>
      </c>
      <c r="C2" s="226" t="s">
        <v>231</v>
      </c>
      <c r="D2" s="226" t="s">
        <v>2</v>
      </c>
      <c r="E2" s="226" t="s">
        <v>230</v>
      </c>
      <c r="F2" s="226" t="s">
        <v>231</v>
      </c>
      <c r="G2" s="226" t="s">
        <v>2</v>
      </c>
      <c r="H2" s="52"/>
      <c r="I2" s="52"/>
      <c r="J2" s="226" t="s">
        <v>230</v>
      </c>
      <c r="K2" s="226" t="s">
        <v>231</v>
      </c>
      <c r="L2" s="226" t="s">
        <v>2</v>
      </c>
      <c r="M2" s="226" t="s">
        <v>230</v>
      </c>
      <c r="N2" s="226" t="s">
        <v>231</v>
      </c>
      <c r="O2" s="226" t="s">
        <v>2</v>
      </c>
    </row>
    <row r="3" spans="1:15" ht="15">
      <c r="A3" s="264"/>
      <c r="B3" s="15">
        <v>12396</v>
      </c>
      <c r="C3" s="15" t="s">
        <v>4</v>
      </c>
      <c r="D3" s="118">
        <v>7.5</v>
      </c>
      <c r="E3" s="15">
        <v>12397</v>
      </c>
      <c r="F3" s="15" t="s">
        <v>5</v>
      </c>
      <c r="G3" s="118">
        <v>7.5</v>
      </c>
      <c r="H3" s="26"/>
      <c r="I3" s="264"/>
      <c r="J3" s="222">
        <v>12403</v>
      </c>
      <c r="K3" s="15" t="s">
        <v>19</v>
      </c>
      <c r="L3" s="118">
        <v>6</v>
      </c>
      <c r="M3" s="36">
        <v>12417</v>
      </c>
      <c r="N3" s="36" t="s">
        <v>25</v>
      </c>
      <c r="O3" s="118">
        <v>4.5</v>
      </c>
    </row>
    <row r="4" spans="1:15" ht="15">
      <c r="A4" s="198" t="s">
        <v>278</v>
      </c>
      <c r="B4" s="15">
        <v>12399</v>
      </c>
      <c r="C4" s="15" t="s">
        <v>7</v>
      </c>
      <c r="D4" s="118">
        <v>6</v>
      </c>
      <c r="E4" s="15">
        <v>12398</v>
      </c>
      <c r="F4" s="15" t="s">
        <v>8</v>
      </c>
      <c r="G4" s="118">
        <v>6</v>
      </c>
      <c r="H4" s="26"/>
      <c r="I4" s="265"/>
      <c r="J4" s="222">
        <v>12405</v>
      </c>
      <c r="K4" s="15" t="s">
        <v>20</v>
      </c>
      <c r="L4" s="118">
        <v>6</v>
      </c>
      <c r="M4" s="36">
        <v>12410</v>
      </c>
      <c r="N4" s="36" t="s">
        <v>33</v>
      </c>
      <c r="O4" s="118">
        <v>4.5</v>
      </c>
    </row>
    <row r="5" spans="1:15" ht="15">
      <c r="A5" s="265"/>
      <c r="B5" s="15">
        <v>12400</v>
      </c>
      <c r="C5" s="15" t="s">
        <v>10</v>
      </c>
      <c r="D5" s="118">
        <v>6</v>
      </c>
      <c r="E5" s="15">
        <v>12404</v>
      </c>
      <c r="F5" s="15" t="s">
        <v>17</v>
      </c>
      <c r="G5" s="118">
        <v>6</v>
      </c>
      <c r="H5" s="26"/>
      <c r="I5" s="198" t="s">
        <v>279</v>
      </c>
      <c r="J5" s="223">
        <v>12411</v>
      </c>
      <c r="K5" s="36" t="s">
        <v>32</v>
      </c>
      <c r="L5" s="118">
        <v>4.5</v>
      </c>
      <c r="M5" s="36">
        <v>12412</v>
      </c>
      <c r="N5" s="36" t="s">
        <v>34</v>
      </c>
      <c r="O5" s="118">
        <v>4.5</v>
      </c>
    </row>
    <row r="6" spans="1:15" ht="15">
      <c r="A6" s="265"/>
      <c r="B6" s="15">
        <v>12401</v>
      </c>
      <c r="C6" s="15" t="s">
        <v>12</v>
      </c>
      <c r="D6" s="118">
        <v>6</v>
      </c>
      <c r="E6" s="15">
        <v>12402</v>
      </c>
      <c r="F6" s="15" t="s">
        <v>18</v>
      </c>
      <c r="G6" s="118">
        <v>6</v>
      </c>
      <c r="H6" s="26"/>
      <c r="I6" s="265"/>
      <c r="J6" s="223">
        <v>12414</v>
      </c>
      <c r="K6" s="36" t="s">
        <v>37</v>
      </c>
      <c r="L6" s="118">
        <v>4.5</v>
      </c>
      <c r="M6" s="36">
        <v>12406</v>
      </c>
      <c r="N6" s="36" t="s">
        <v>28</v>
      </c>
      <c r="O6" s="118">
        <v>6</v>
      </c>
    </row>
    <row r="7" spans="1:15" ht="15">
      <c r="A7" s="266"/>
      <c r="B7" s="35">
        <v>12419</v>
      </c>
      <c r="C7" s="35" t="s">
        <v>42</v>
      </c>
      <c r="D7" s="118">
        <v>4.5</v>
      </c>
      <c r="E7" s="36">
        <v>12416</v>
      </c>
      <c r="F7" s="36" t="s">
        <v>36</v>
      </c>
      <c r="G7" s="118">
        <v>4.5</v>
      </c>
      <c r="H7" s="26"/>
      <c r="I7" s="265"/>
      <c r="J7" s="224">
        <v>12418</v>
      </c>
      <c r="K7" s="35" t="s">
        <v>43</v>
      </c>
      <c r="L7" s="118">
        <v>4.5</v>
      </c>
      <c r="M7" s="36">
        <v>12407</v>
      </c>
      <c r="N7" s="36" t="s">
        <v>27</v>
      </c>
      <c r="O7" s="118">
        <v>6</v>
      </c>
    </row>
    <row r="8" spans="4:15" ht="15">
      <c r="D8" s="221">
        <v>30</v>
      </c>
      <c r="G8" s="221">
        <v>30</v>
      </c>
      <c r="H8" s="52"/>
      <c r="I8" s="266"/>
      <c r="J8" s="224">
        <v>12420</v>
      </c>
      <c r="K8" s="35" t="s">
        <v>44</v>
      </c>
      <c r="L8" s="118">
        <v>4.5</v>
      </c>
      <c r="M8" s="36">
        <v>12415</v>
      </c>
      <c r="N8" s="36" t="s">
        <v>38</v>
      </c>
      <c r="O8" s="118">
        <v>4.5</v>
      </c>
    </row>
    <row r="9" ht="15.75" thickBot="1"/>
    <row r="10" spans="1:15" ht="15">
      <c r="A10" s="267"/>
      <c r="B10" s="268"/>
      <c r="C10" s="269" t="s">
        <v>283</v>
      </c>
      <c r="D10" s="269"/>
      <c r="E10" s="269"/>
      <c r="F10" s="269"/>
      <c r="G10" s="269"/>
      <c r="H10" s="233"/>
      <c r="I10" s="233"/>
      <c r="J10" s="233"/>
      <c r="K10" s="269"/>
      <c r="L10" s="269"/>
      <c r="M10" s="269"/>
      <c r="N10" s="269"/>
      <c r="O10" s="270"/>
    </row>
    <row r="11" spans="1:15" ht="15">
      <c r="A11" s="271"/>
      <c r="B11" s="261" t="s">
        <v>276</v>
      </c>
      <c r="C11" s="262"/>
      <c r="D11" s="263"/>
      <c r="E11" s="261" t="s">
        <v>277</v>
      </c>
      <c r="F11" s="262"/>
      <c r="G11" s="263"/>
      <c r="H11" s="27"/>
      <c r="I11" s="27"/>
      <c r="J11" s="261" t="s">
        <v>276</v>
      </c>
      <c r="K11" s="262"/>
      <c r="L11" s="263"/>
      <c r="M11" s="261" t="s">
        <v>277</v>
      </c>
      <c r="N11" s="262"/>
      <c r="O11" s="272"/>
    </row>
    <row r="12" spans="1:15" ht="15">
      <c r="A12" s="234"/>
      <c r="B12" s="12" t="s">
        <v>230</v>
      </c>
      <c r="C12" s="12" t="s">
        <v>231</v>
      </c>
      <c r="D12" s="12" t="s">
        <v>2</v>
      </c>
      <c r="E12" s="12" t="s">
        <v>230</v>
      </c>
      <c r="F12" s="12" t="s">
        <v>231</v>
      </c>
      <c r="G12" s="12" t="s">
        <v>2</v>
      </c>
      <c r="H12" s="27"/>
      <c r="I12" s="27"/>
      <c r="J12" s="12" t="s">
        <v>230</v>
      </c>
      <c r="K12" s="12" t="s">
        <v>231</v>
      </c>
      <c r="L12" s="12" t="s">
        <v>2</v>
      </c>
      <c r="M12" s="12" t="s">
        <v>230</v>
      </c>
      <c r="N12" s="12" t="s">
        <v>231</v>
      </c>
      <c r="O12" s="225" t="s">
        <v>2</v>
      </c>
    </row>
    <row r="13" spans="1:15" ht="15">
      <c r="A13" s="273"/>
      <c r="B13" s="223">
        <v>12408</v>
      </c>
      <c r="C13" s="36" t="s">
        <v>29</v>
      </c>
      <c r="D13" s="118">
        <v>7.5</v>
      </c>
      <c r="E13" s="35">
        <v>12426</v>
      </c>
      <c r="F13" s="35" t="s">
        <v>139</v>
      </c>
      <c r="G13" s="118">
        <v>4.5</v>
      </c>
      <c r="H13" s="27"/>
      <c r="I13" s="264"/>
      <c r="J13" s="28">
        <v>14122</v>
      </c>
      <c r="K13" s="28" t="s">
        <v>51</v>
      </c>
      <c r="L13" s="221">
        <v>6</v>
      </c>
      <c r="M13" s="227">
        <v>12431</v>
      </c>
      <c r="N13" s="227" t="s">
        <v>66</v>
      </c>
      <c r="O13" s="72">
        <v>4.5</v>
      </c>
    </row>
    <row r="14" spans="1:15" ht="15">
      <c r="A14" s="274" t="s">
        <v>280</v>
      </c>
      <c r="B14" s="223">
        <v>12409</v>
      </c>
      <c r="C14" s="36" t="s">
        <v>35</v>
      </c>
      <c r="D14" s="118">
        <v>4.5</v>
      </c>
      <c r="E14" s="35">
        <v>14124</v>
      </c>
      <c r="F14" s="35" t="s">
        <v>140</v>
      </c>
      <c r="G14" s="118">
        <v>4.5</v>
      </c>
      <c r="H14" s="27"/>
      <c r="I14" s="265"/>
      <c r="J14" s="28">
        <v>13175</v>
      </c>
      <c r="K14" s="28" t="s">
        <v>50</v>
      </c>
      <c r="L14" s="221">
        <v>4.5</v>
      </c>
      <c r="M14" s="227">
        <v>12457</v>
      </c>
      <c r="N14" s="227" t="s">
        <v>105</v>
      </c>
      <c r="O14" s="72">
        <v>4.5</v>
      </c>
    </row>
    <row r="15" spans="1:15" ht="15">
      <c r="A15" s="275"/>
      <c r="B15" s="223">
        <v>12413</v>
      </c>
      <c r="C15" s="36" t="s">
        <v>39</v>
      </c>
      <c r="D15" s="118">
        <v>4.5</v>
      </c>
      <c r="E15" s="35">
        <v>12444</v>
      </c>
      <c r="F15" s="35" t="s">
        <v>84</v>
      </c>
      <c r="G15" s="118">
        <v>4.5</v>
      </c>
      <c r="H15" s="27"/>
      <c r="I15" s="198" t="s">
        <v>281</v>
      </c>
      <c r="J15" s="28">
        <v>12425</v>
      </c>
      <c r="K15" s="28" t="s">
        <v>52</v>
      </c>
      <c r="L15" s="221">
        <v>4.5</v>
      </c>
      <c r="M15" s="227">
        <v>12421</v>
      </c>
      <c r="N15" s="228" t="s">
        <v>45</v>
      </c>
      <c r="O15" s="72">
        <v>4.5</v>
      </c>
    </row>
    <row r="16" spans="1:15" ht="15">
      <c r="A16" s="275"/>
      <c r="B16" s="224">
        <v>12464</v>
      </c>
      <c r="C16" s="35" t="s">
        <v>111</v>
      </c>
      <c r="D16" s="70">
        <v>6</v>
      </c>
      <c r="E16" s="28">
        <v>14125</v>
      </c>
      <c r="F16" s="28" t="s">
        <v>141</v>
      </c>
      <c r="G16" s="118">
        <v>4.5</v>
      </c>
      <c r="H16" s="27"/>
      <c r="I16" s="265"/>
      <c r="J16" s="28">
        <v>14121</v>
      </c>
      <c r="K16" s="28" t="s">
        <v>63</v>
      </c>
      <c r="L16" s="221">
        <v>6</v>
      </c>
      <c r="M16" s="227">
        <v>12424</v>
      </c>
      <c r="N16" s="227" t="s">
        <v>46</v>
      </c>
      <c r="O16" s="72">
        <v>4.5</v>
      </c>
    </row>
    <row r="17" spans="1:15" ht="15">
      <c r="A17" s="275"/>
      <c r="B17" s="224">
        <v>12450</v>
      </c>
      <c r="C17" s="35" t="s">
        <v>96</v>
      </c>
      <c r="D17" s="70">
        <v>6</v>
      </c>
      <c r="E17" s="28">
        <v>12429</v>
      </c>
      <c r="F17" s="28" t="s">
        <v>60</v>
      </c>
      <c r="G17" s="118">
        <v>4.5</v>
      </c>
      <c r="H17" s="27"/>
      <c r="I17" s="265"/>
      <c r="J17" s="28">
        <v>13173</v>
      </c>
      <c r="K17" s="28" t="s">
        <v>67</v>
      </c>
      <c r="L17" s="118">
        <v>4.5</v>
      </c>
      <c r="M17" s="229">
        <v>12483</v>
      </c>
      <c r="N17" s="230" t="s">
        <v>131</v>
      </c>
      <c r="O17" s="276">
        <v>12</v>
      </c>
    </row>
    <row r="18" spans="1:15" ht="15">
      <c r="A18" s="238"/>
      <c r="B18" s="52"/>
      <c r="C18" s="27"/>
      <c r="D18" s="26"/>
      <c r="E18" s="28">
        <v>12433</v>
      </c>
      <c r="F18" s="28" t="s">
        <v>64</v>
      </c>
      <c r="G18" s="118">
        <v>4.5</v>
      </c>
      <c r="H18" s="27"/>
      <c r="I18" s="266"/>
      <c r="J18" s="28">
        <v>12432</v>
      </c>
      <c r="K18" s="28" t="s">
        <v>68</v>
      </c>
      <c r="L18" s="118">
        <v>4.5</v>
      </c>
      <c r="M18" s="231"/>
      <c r="N18" s="232"/>
      <c r="O18" s="277"/>
    </row>
    <row r="19" spans="1:15" ht="15">
      <c r="A19" s="278"/>
      <c r="B19" s="27"/>
      <c r="C19" s="27"/>
      <c r="D19" s="27"/>
      <c r="E19" s="28">
        <v>12434</v>
      </c>
      <c r="F19" s="28" t="s">
        <v>65</v>
      </c>
      <c r="G19" s="118">
        <v>4.5</v>
      </c>
      <c r="H19" s="27"/>
      <c r="I19" s="26"/>
      <c r="J19" s="26"/>
      <c r="K19" s="27"/>
      <c r="L19" s="118">
        <f>SUM(L13:L18)</f>
        <v>30</v>
      </c>
      <c r="M19" s="27"/>
      <c r="N19" s="27"/>
      <c r="O19" s="72">
        <f>SUM(O13:O18)</f>
        <v>30</v>
      </c>
    </row>
    <row r="20" spans="1:15" ht="15.75" thickBot="1">
      <c r="A20" s="279"/>
      <c r="B20" s="280"/>
      <c r="C20" s="280"/>
      <c r="D20" s="281">
        <f>SUM(D13:D19)</f>
        <v>28.5</v>
      </c>
      <c r="E20" s="282"/>
      <c r="F20" s="282"/>
      <c r="G20" s="103">
        <f>SUM(G13:G19)</f>
        <v>31.5</v>
      </c>
      <c r="H20" s="280"/>
      <c r="I20" s="282"/>
      <c r="J20" s="282"/>
      <c r="K20" s="280"/>
      <c r="L20" s="282"/>
      <c r="M20" s="280"/>
      <c r="N20" s="280"/>
      <c r="O20" s="283"/>
    </row>
    <row r="21" spans="1:15" ht="15.75" thickBot="1">
      <c r="A21" s="27"/>
      <c r="B21" s="27"/>
      <c r="C21" s="27"/>
      <c r="D21" s="27"/>
      <c r="E21" s="27"/>
      <c r="F21" s="27"/>
      <c r="G21" s="27"/>
      <c r="H21" s="27"/>
      <c r="I21" s="26"/>
      <c r="J21" s="26"/>
      <c r="K21" s="27"/>
      <c r="L21" s="26"/>
      <c r="M21" s="27"/>
      <c r="N21" s="27"/>
      <c r="O21" s="26"/>
    </row>
    <row r="22" spans="1:15" ht="15">
      <c r="A22" s="267"/>
      <c r="B22" s="268"/>
      <c r="C22" s="284" t="s">
        <v>284</v>
      </c>
      <c r="D22" s="284"/>
      <c r="E22" s="284"/>
      <c r="F22" s="284"/>
      <c r="G22" s="284"/>
      <c r="H22" s="235"/>
      <c r="I22" s="235"/>
      <c r="J22" s="235"/>
      <c r="K22" s="284"/>
      <c r="L22" s="284"/>
      <c r="M22" s="284"/>
      <c r="N22" s="284"/>
      <c r="O22" s="285"/>
    </row>
    <row r="23" spans="1:15" ht="15">
      <c r="A23" s="271"/>
      <c r="B23" s="261" t="s">
        <v>276</v>
      </c>
      <c r="C23" s="262"/>
      <c r="D23" s="263"/>
      <c r="E23" s="261" t="s">
        <v>277</v>
      </c>
      <c r="F23" s="262"/>
      <c r="G23" s="263"/>
      <c r="H23" s="27"/>
      <c r="I23" s="27"/>
      <c r="J23" s="261" t="s">
        <v>276</v>
      </c>
      <c r="K23" s="262"/>
      <c r="L23" s="263"/>
      <c r="M23" s="261" t="s">
        <v>277</v>
      </c>
      <c r="N23" s="262"/>
      <c r="O23" s="272"/>
    </row>
    <row r="24" spans="1:15" ht="15">
      <c r="A24" s="234"/>
      <c r="B24" s="12" t="s">
        <v>230</v>
      </c>
      <c r="C24" s="12" t="s">
        <v>231</v>
      </c>
      <c r="D24" s="12" t="s">
        <v>2</v>
      </c>
      <c r="E24" s="12" t="s">
        <v>230</v>
      </c>
      <c r="F24" s="12" t="s">
        <v>231</v>
      </c>
      <c r="G24" s="12" t="s">
        <v>2</v>
      </c>
      <c r="H24" s="27"/>
      <c r="I24" s="27"/>
      <c r="J24" s="12" t="s">
        <v>230</v>
      </c>
      <c r="K24" s="12" t="s">
        <v>231</v>
      </c>
      <c r="L24" s="12" t="s">
        <v>2</v>
      </c>
      <c r="M24" s="12" t="s">
        <v>230</v>
      </c>
      <c r="N24" s="12" t="s">
        <v>231</v>
      </c>
      <c r="O24" s="225" t="s">
        <v>2</v>
      </c>
    </row>
    <row r="25" spans="1:15" ht="15">
      <c r="A25" s="273"/>
      <c r="B25" s="223">
        <v>12408</v>
      </c>
      <c r="C25" s="36" t="s">
        <v>29</v>
      </c>
      <c r="D25" s="118">
        <v>7.5</v>
      </c>
      <c r="E25" s="35">
        <v>12426</v>
      </c>
      <c r="F25" s="35" t="s">
        <v>139</v>
      </c>
      <c r="G25" s="118">
        <v>4.5</v>
      </c>
      <c r="H25" s="27"/>
      <c r="I25" s="264"/>
      <c r="J25" s="49">
        <v>12449</v>
      </c>
      <c r="K25" s="49" t="s">
        <v>90</v>
      </c>
      <c r="L25" s="118">
        <v>6</v>
      </c>
      <c r="M25" s="227">
        <v>12431</v>
      </c>
      <c r="N25" s="227" t="s">
        <v>66</v>
      </c>
      <c r="O25" s="72">
        <v>4.5</v>
      </c>
    </row>
    <row r="26" spans="1:15" ht="15">
      <c r="A26" s="274" t="s">
        <v>280</v>
      </c>
      <c r="B26" s="223">
        <v>12409</v>
      </c>
      <c r="C26" s="36" t="s">
        <v>35</v>
      </c>
      <c r="D26" s="118">
        <v>4.5</v>
      </c>
      <c r="E26" s="35">
        <v>14124</v>
      </c>
      <c r="F26" s="35" t="s">
        <v>140</v>
      </c>
      <c r="G26" s="118">
        <v>4.5</v>
      </c>
      <c r="H26" s="27"/>
      <c r="I26" s="265"/>
      <c r="J26" s="49">
        <v>12455</v>
      </c>
      <c r="K26" s="49" t="s">
        <v>95</v>
      </c>
      <c r="L26" s="118">
        <v>6</v>
      </c>
      <c r="M26" s="227">
        <v>12457</v>
      </c>
      <c r="N26" s="227" t="s">
        <v>105</v>
      </c>
      <c r="O26" s="72">
        <v>4.5</v>
      </c>
    </row>
    <row r="27" spans="1:15" ht="15">
      <c r="A27" s="275"/>
      <c r="B27" s="223">
        <v>12413</v>
      </c>
      <c r="C27" s="36" t="s">
        <v>39</v>
      </c>
      <c r="D27" s="118">
        <v>4.5</v>
      </c>
      <c r="E27" s="35">
        <v>12444</v>
      </c>
      <c r="F27" s="35" t="s">
        <v>84</v>
      </c>
      <c r="G27" s="118">
        <v>4.5</v>
      </c>
      <c r="H27" s="27"/>
      <c r="I27" s="198" t="s">
        <v>281</v>
      </c>
      <c r="J27" s="49">
        <v>12451</v>
      </c>
      <c r="K27" s="49" t="s">
        <v>102</v>
      </c>
      <c r="L27" s="118">
        <v>4.5</v>
      </c>
      <c r="M27" s="227">
        <v>12421</v>
      </c>
      <c r="N27" s="228" t="s">
        <v>45</v>
      </c>
      <c r="O27" s="72">
        <v>4.5</v>
      </c>
    </row>
    <row r="28" spans="1:15" ht="15">
      <c r="A28" s="275"/>
      <c r="B28" s="224">
        <v>12464</v>
      </c>
      <c r="C28" s="35" t="s">
        <v>111</v>
      </c>
      <c r="D28" s="70">
        <v>6</v>
      </c>
      <c r="E28" s="49">
        <v>12456</v>
      </c>
      <c r="F28" s="49" t="s">
        <v>97</v>
      </c>
      <c r="G28" s="118">
        <v>4.5</v>
      </c>
      <c r="H28" s="27"/>
      <c r="I28" s="265"/>
      <c r="J28" s="49">
        <v>12454</v>
      </c>
      <c r="K28" s="49" t="s">
        <v>103</v>
      </c>
      <c r="L28" s="118">
        <v>4.5</v>
      </c>
      <c r="M28" s="227">
        <v>12424</v>
      </c>
      <c r="N28" s="227" t="s">
        <v>46</v>
      </c>
      <c r="O28" s="72">
        <v>4.5</v>
      </c>
    </row>
    <row r="29" spans="1:15" ht="15">
      <c r="A29" s="275"/>
      <c r="B29" s="224">
        <v>12450</v>
      </c>
      <c r="C29" s="35" t="s">
        <v>96</v>
      </c>
      <c r="D29" s="70">
        <v>6</v>
      </c>
      <c r="E29" s="49">
        <v>12448</v>
      </c>
      <c r="F29" s="49" t="s">
        <v>92</v>
      </c>
      <c r="G29" s="118">
        <v>4.5</v>
      </c>
      <c r="H29" s="27"/>
      <c r="I29" s="265"/>
      <c r="J29" s="49">
        <v>12462</v>
      </c>
      <c r="K29" s="49" t="s">
        <v>104</v>
      </c>
      <c r="L29" s="118">
        <v>4.5</v>
      </c>
      <c r="M29" s="229">
        <v>12483</v>
      </c>
      <c r="N29" s="230" t="s">
        <v>131</v>
      </c>
      <c r="O29" s="276">
        <v>12</v>
      </c>
    </row>
    <row r="30" spans="1:15" ht="15">
      <c r="A30" s="238"/>
      <c r="B30" s="52"/>
      <c r="C30" s="27"/>
      <c r="D30" s="26"/>
      <c r="E30" s="49">
        <v>12452</v>
      </c>
      <c r="F30" s="49" t="s">
        <v>93</v>
      </c>
      <c r="G30" s="118">
        <v>4.5</v>
      </c>
      <c r="H30" s="27"/>
      <c r="I30" s="266"/>
      <c r="J30" s="49">
        <v>12461</v>
      </c>
      <c r="K30" s="49" t="s">
        <v>106</v>
      </c>
      <c r="L30" s="118">
        <v>4.5</v>
      </c>
      <c r="M30" s="231"/>
      <c r="N30" s="232"/>
      <c r="O30" s="277"/>
    </row>
    <row r="31" spans="1:15" ht="15">
      <c r="A31" s="278"/>
      <c r="B31" s="27"/>
      <c r="C31" s="27"/>
      <c r="D31" s="27"/>
      <c r="E31" s="49">
        <v>12453</v>
      </c>
      <c r="F31" s="49" t="s">
        <v>94</v>
      </c>
      <c r="G31" s="118">
        <v>4.5</v>
      </c>
      <c r="H31" s="27"/>
      <c r="I31" s="26"/>
      <c r="J31" s="26"/>
      <c r="K31" s="27"/>
      <c r="L31" s="118">
        <f>SUM(L25:L30)</f>
        <v>30</v>
      </c>
      <c r="M31" s="27"/>
      <c r="N31" s="27"/>
      <c r="O31" s="72">
        <f>SUM(O25:O30)</f>
        <v>30</v>
      </c>
    </row>
    <row r="32" spans="1:15" ht="15.75" thickBot="1">
      <c r="A32" s="279"/>
      <c r="B32" s="280"/>
      <c r="C32" s="280"/>
      <c r="D32" s="281">
        <f>SUM(D25:D31)</f>
        <v>28.5</v>
      </c>
      <c r="E32" s="282"/>
      <c r="F32" s="282"/>
      <c r="G32" s="103">
        <f>SUM(G25:G31)</f>
        <v>31.5</v>
      </c>
      <c r="H32" s="280"/>
      <c r="I32" s="282"/>
      <c r="J32" s="282"/>
      <c r="K32" s="280"/>
      <c r="L32" s="282"/>
      <c r="M32" s="280"/>
      <c r="N32" s="280"/>
      <c r="O32" s="283"/>
    </row>
    <row r="33" spans="9:15" ht="15.75" thickBot="1">
      <c r="I33" s="26"/>
      <c r="J33" s="26"/>
      <c r="L33" s="26"/>
      <c r="O33" s="26"/>
    </row>
    <row r="34" spans="1:15" ht="15">
      <c r="A34" s="267"/>
      <c r="B34" s="268"/>
      <c r="C34" s="286" t="s">
        <v>285</v>
      </c>
      <c r="D34" s="286"/>
      <c r="E34" s="286"/>
      <c r="F34" s="286"/>
      <c r="G34" s="286"/>
      <c r="H34" s="236"/>
      <c r="I34" s="236"/>
      <c r="J34" s="236"/>
      <c r="K34" s="286"/>
      <c r="L34" s="286"/>
      <c r="M34" s="286"/>
      <c r="N34" s="286"/>
      <c r="O34" s="287"/>
    </row>
    <row r="35" spans="1:15" ht="15">
      <c r="A35" s="271"/>
      <c r="B35" s="261" t="s">
        <v>276</v>
      </c>
      <c r="C35" s="262"/>
      <c r="D35" s="263"/>
      <c r="E35" s="261" t="s">
        <v>277</v>
      </c>
      <c r="F35" s="262"/>
      <c r="G35" s="263"/>
      <c r="H35" s="27"/>
      <c r="I35" s="27"/>
      <c r="J35" s="261" t="s">
        <v>276</v>
      </c>
      <c r="K35" s="262"/>
      <c r="L35" s="263"/>
      <c r="M35" s="261" t="s">
        <v>277</v>
      </c>
      <c r="N35" s="262"/>
      <c r="O35" s="272"/>
    </row>
    <row r="36" spans="1:15" ht="15">
      <c r="A36" s="234"/>
      <c r="B36" s="12" t="s">
        <v>230</v>
      </c>
      <c r="C36" s="12" t="s">
        <v>231</v>
      </c>
      <c r="D36" s="12" t="s">
        <v>2</v>
      </c>
      <c r="E36" s="12" t="s">
        <v>230</v>
      </c>
      <c r="F36" s="12" t="s">
        <v>231</v>
      </c>
      <c r="G36" s="12" t="s">
        <v>2</v>
      </c>
      <c r="H36" s="27"/>
      <c r="I36" s="27"/>
      <c r="J36" s="220" t="s">
        <v>230</v>
      </c>
      <c r="K36" s="220" t="s">
        <v>231</v>
      </c>
      <c r="L36" s="220" t="s">
        <v>2</v>
      </c>
      <c r="M36" s="220" t="s">
        <v>230</v>
      </c>
      <c r="N36" s="220" t="s">
        <v>231</v>
      </c>
      <c r="O36" s="239" t="s">
        <v>2</v>
      </c>
    </row>
    <row r="37" spans="1:15" ht="15">
      <c r="A37" s="273"/>
      <c r="B37" s="36">
        <v>12408</v>
      </c>
      <c r="C37" s="36" t="s">
        <v>29</v>
      </c>
      <c r="D37" s="118">
        <v>7.5</v>
      </c>
      <c r="E37" s="35">
        <v>12426</v>
      </c>
      <c r="F37" s="35" t="s">
        <v>139</v>
      </c>
      <c r="G37" s="118">
        <v>4.5</v>
      </c>
      <c r="H37" s="27"/>
      <c r="I37" s="264"/>
      <c r="J37" s="58">
        <v>12463</v>
      </c>
      <c r="K37" s="58" t="s">
        <v>112</v>
      </c>
      <c r="L37" s="118">
        <v>4.5</v>
      </c>
      <c r="M37" s="227">
        <v>12431</v>
      </c>
      <c r="N37" s="227" t="s">
        <v>66</v>
      </c>
      <c r="O37" s="72">
        <v>4.5</v>
      </c>
    </row>
    <row r="38" spans="1:15" ht="15">
      <c r="A38" s="274" t="s">
        <v>280</v>
      </c>
      <c r="B38" s="36">
        <v>12409</v>
      </c>
      <c r="C38" s="36" t="s">
        <v>35</v>
      </c>
      <c r="D38" s="118">
        <v>4.5</v>
      </c>
      <c r="E38" s="35">
        <v>14124</v>
      </c>
      <c r="F38" s="35" t="s">
        <v>140</v>
      </c>
      <c r="G38" s="118">
        <v>4.5</v>
      </c>
      <c r="H38" s="27"/>
      <c r="I38" s="265"/>
      <c r="J38" s="58">
        <v>12466</v>
      </c>
      <c r="K38" s="58" t="s">
        <v>113</v>
      </c>
      <c r="L38" s="118">
        <v>6</v>
      </c>
      <c r="M38" s="227">
        <v>12457</v>
      </c>
      <c r="N38" s="227" t="s">
        <v>105</v>
      </c>
      <c r="O38" s="72">
        <v>4.5</v>
      </c>
    </row>
    <row r="39" spans="1:15" ht="15">
      <c r="A39" s="275"/>
      <c r="B39" s="36">
        <v>12413</v>
      </c>
      <c r="C39" s="36" t="s">
        <v>39</v>
      </c>
      <c r="D39" s="118">
        <v>4.5</v>
      </c>
      <c r="E39" s="35">
        <v>12444</v>
      </c>
      <c r="F39" s="35" t="s">
        <v>84</v>
      </c>
      <c r="G39" s="118">
        <v>4.5</v>
      </c>
      <c r="H39" s="27"/>
      <c r="I39" s="198" t="s">
        <v>281</v>
      </c>
      <c r="J39" s="58">
        <v>12468</v>
      </c>
      <c r="K39" s="58" t="s">
        <v>121</v>
      </c>
      <c r="L39" s="118">
        <v>4.5</v>
      </c>
      <c r="M39" s="227">
        <v>12421</v>
      </c>
      <c r="N39" s="228" t="s">
        <v>45</v>
      </c>
      <c r="O39" s="72">
        <v>4.5</v>
      </c>
    </row>
    <row r="40" spans="1:15" ht="15">
      <c r="A40" s="275"/>
      <c r="B40" s="35">
        <v>12464</v>
      </c>
      <c r="C40" s="35" t="s">
        <v>111</v>
      </c>
      <c r="D40" s="118">
        <v>6</v>
      </c>
      <c r="E40" s="58">
        <v>12465</v>
      </c>
      <c r="F40" s="58" t="s">
        <v>117</v>
      </c>
      <c r="G40" s="118">
        <v>6</v>
      </c>
      <c r="H40" s="27"/>
      <c r="I40" s="265"/>
      <c r="J40" s="58">
        <v>12467</v>
      </c>
      <c r="K40" s="58" t="s">
        <v>123</v>
      </c>
      <c r="L40" s="118">
        <v>4.5</v>
      </c>
      <c r="M40" s="227">
        <v>12424</v>
      </c>
      <c r="N40" s="227" t="s">
        <v>46</v>
      </c>
      <c r="O40" s="72">
        <v>4.5</v>
      </c>
    </row>
    <row r="41" spans="1:15" ht="15">
      <c r="A41" s="278"/>
      <c r="B41" s="35">
        <v>12450</v>
      </c>
      <c r="C41" s="35" t="s">
        <v>96</v>
      </c>
      <c r="D41" s="118">
        <v>6</v>
      </c>
      <c r="E41" s="58">
        <v>12471</v>
      </c>
      <c r="F41" s="58" t="s">
        <v>128</v>
      </c>
      <c r="G41" s="118">
        <v>6</v>
      </c>
      <c r="H41" s="27"/>
      <c r="I41" s="265"/>
      <c r="J41" s="58">
        <v>12472</v>
      </c>
      <c r="K41" s="58" t="s">
        <v>129</v>
      </c>
      <c r="L41" s="118">
        <v>6</v>
      </c>
      <c r="M41" s="229">
        <v>12483</v>
      </c>
      <c r="N41" s="230" t="s">
        <v>131</v>
      </c>
      <c r="O41" s="276">
        <v>12</v>
      </c>
    </row>
    <row r="42" spans="1:15" ht="15">
      <c r="A42" s="271"/>
      <c r="B42" s="27"/>
      <c r="C42" s="27"/>
      <c r="D42" s="27"/>
      <c r="E42" s="58">
        <v>12473</v>
      </c>
      <c r="F42" s="58" t="s">
        <v>233</v>
      </c>
      <c r="G42" s="118">
        <v>6</v>
      </c>
      <c r="H42" s="27"/>
      <c r="I42" s="266"/>
      <c r="J42" s="58">
        <v>12470</v>
      </c>
      <c r="K42" s="58" t="s">
        <v>130</v>
      </c>
      <c r="L42" s="118">
        <v>4.5</v>
      </c>
      <c r="M42" s="231"/>
      <c r="N42" s="232"/>
      <c r="O42" s="277"/>
    </row>
    <row r="43" spans="1:15" ht="15.75" thickBot="1">
      <c r="A43" s="279"/>
      <c r="B43" s="280"/>
      <c r="C43" s="280"/>
      <c r="D43" s="281">
        <f>SUM(D37:D42)</f>
        <v>28.5</v>
      </c>
      <c r="E43" s="282"/>
      <c r="F43" s="282"/>
      <c r="G43" s="103">
        <f>SUM(G37:G42)</f>
        <v>31.5</v>
      </c>
      <c r="H43" s="280"/>
      <c r="I43" s="282"/>
      <c r="J43" s="282"/>
      <c r="K43" s="280"/>
      <c r="L43" s="288">
        <f>SUM(L37:L42)</f>
        <v>30</v>
      </c>
      <c r="M43" s="280"/>
      <c r="N43" s="280"/>
      <c r="O43" s="75">
        <f>SUM(O37:O42)</f>
        <v>30</v>
      </c>
    </row>
    <row r="44" spans="1:15" ht="15.75" thickBot="1">
      <c r="A44" s="27"/>
      <c r="B44" s="27"/>
      <c r="C44" s="27"/>
      <c r="D44" s="27"/>
      <c r="E44" s="27"/>
      <c r="F44" s="27"/>
      <c r="G44" s="27"/>
      <c r="H44" s="27"/>
      <c r="I44" s="26"/>
      <c r="J44" s="26"/>
      <c r="K44" s="27"/>
      <c r="L44" s="26"/>
      <c r="M44" s="27"/>
      <c r="N44" s="27"/>
      <c r="O44" s="26"/>
    </row>
    <row r="45" spans="1:15" ht="15">
      <c r="A45" s="267"/>
      <c r="B45" s="268"/>
      <c r="C45" s="289" t="s">
        <v>282</v>
      </c>
      <c r="D45" s="289"/>
      <c r="E45" s="289"/>
      <c r="F45" s="289"/>
      <c r="G45" s="289"/>
      <c r="H45" s="237"/>
      <c r="I45" s="237"/>
      <c r="J45" s="237"/>
      <c r="K45" s="289"/>
      <c r="L45" s="289"/>
      <c r="M45" s="289"/>
      <c r="N45" s="289"/>
      <c r="O45" s="290"/>
    </row>
    <row r="46" spans="1:15" ht="15">
      <c r="A46" s="271"/>
      <c r="B46" s="261" t="s">
        <v>276</v>
      </c>
      <c r="C46" s="262"/>
      <c r="D46" s="263"/>
      <c r="E46" s="261" t="s">
        <v>277</v>
      </c>
      <c r="F46" s="262"/>
      <c r="G46" s="263"/>
      <c r="H46" s="27"/>
      <c r="I46" s="27"/>
      <c r="J46" s="261" t="s">
        <v>276</v>
      </c>
      <c r="K46" s="262"/>
      <c r="L46" s="263"/>
      <c r="M46" s="261" t="s">
        <v>277</v>
      </c>
      <c r="N46" s="262"/>
      <c r="O46" s="272"/>
    </row>
    <row r="47" spans="1:15" ht="15">
      <c r="A47" s="234"/>
      <c r="B47" s="12" t="s">
        <v>230</v>
      </c>
      <c r="C47" s="12" t="s">
        <v>231</v>
      </c>
      <c r="D47" s="12" t="s">
        <v>2</v>
      </c>
      <c r="E47" s="12" t="s">
        <v>230</v>
      </c>
      <c r="F47" s="12" t="s">
        <v>231</v>
      </c>
      <c r="G47" s="12" t="s">
        <v>2</v>
      </c>
      <c r="H47" s="27"/>
      <c r="I47" s="27"/>
      <c r="J47" s="220" t="s">
        <v>230</v>
      </c>
      <c r="K47" s="220" t="s">
        <v>231</v>
      </c>
      <c r="L47" s="220" t="s">
        <v>2</v>
      </c>
      <c r="M47" s="220" t="s">
        <v>230</v>
      </c>
      <c r="N47" s="220" t="s">
        <v>231</v>
      </c>
      <c r="O47" s="239" t="s">
        <v>2</v>
      </c>
    </row>
    <row r="48" spans="1:15" ht="15">
      <c r="A48" s="273"/>
      <c r="B48" s="36">
        <v>12408</v>
      </c>
      <c r="C48" s="36" t="s">
        <v>29</v>
      </c>
      <c r="D48" s="118">
        <v>7.5</v>
      </c>
      <c r="E48" s="35">
        <v>12426</v>
      </c>
      <c r="F48" s="35" t="s">
        <v>139</v>
      </c>
      <c r="G48" s="118">
        <v>4.5</v>
      </c>
      <c r="H48" s="27"/>
      <c r="I48" s="264"/>
      <c r="J48" s="177">
        <v>12438</v>
      </c>
      <c r="K48" s="177" t="s">
        <v>73</v>
      </c>
      <c r="L48" s="118">
        <v>4.5</v>
      </c>
      <c r="M48" s="227">
        <v>12431</v>
      </c>
      <c r="N48" s="227" t="s">
        <v>66</v>
      </c>
      <c r="O48" s="72">
        <v>4.5</v>
      </c>
    </row>
    <row r="49" spans="1:15" ht="15">
      <c r="A49" s="274" t="s">
        <v>280</v>
      </c>
      <c r="B49" s="36">
        <v>12409</v>
      </c>
      <c r="C49" s="36" t="s">
        <v>35</v>
      </c>
      <c r="D49" s="118">
        <v>4.5</v>
      </c>
      <c r="E49" s="35">
        <v>14124</v>
      </c>
      <c r="F49" s="35" t="s">
        <v>140</v>
      </c>
      <c r="G49" s="118">
        <v>4.5</v>
      </c>
      <c r="H49" s="27"/>
      <c r="I49" s="265"/>
      <c r="J49" s="177">
        <v>12437</v>
      </c>
      <c r="K49" s="177" t="s">
        <v>77</v>
      </c>
      <c r="L49" s="118">
        <v>6</v>
      </c>
      <c r="M49" s="227">
        <v>12457</v>
      </c>
      <c r="N49" s="227" t="s">
        <v>105</v>
      </c>
      <c r="O49" s="72">
        <v>4.5</v>
      </c>
    </row>
    <row r="50" spans="1:15" ht="15">
      <c r="A50" s="275"/>
      <c r="B50" s="36">
        <v>12413</v>
      </c>
      <c r="C50" s="36" t="s">
        <v>39</v>
      </c>
      <c r="D50" s="118">
        <v>4.5</v>
      </c>
      <c r="E50" s="35">
        <v>12444</v>
      </c>
      <c r="F50" s="35" t="s">
        <v>84</v>
      </c>
      <c r="G50" s="118">
        <v>4.5</v>
      </c>
      <c r="H50" s="27"/>
      <c r="I50" s="198" t="s">
        <v>281</v>
      </c>
      <c r="J50" s="177">
        <v>12440</v>
      </c>
      <c r="K50" s="177" t="s">
        <v>75</v>
      </c>
      <c r="L50" s="118">
        <v>4.5</v>
      </c>
      <c r="M50" s="227">
        <v>12421</v>
      </c>
      <c r="N50" s="228" t="s">
        <v>45</v>
      </c>
      <c r="O50" s="72">
        <v>4.5</v>
      </c>
    </row>
    <row r="51" spans="1:15" ht="15">
      <c r="A51" s="275"/>
      <c r="B51" s="35">
        <v>12464</v>
      </c>
      <c r="C51" s="35" t="s">
        <v>111</v>
      </c>
      <c r="D51" s="118">
        <v>6</v>
      </c>
      <c r="E51" s="177">
        <v>12439</v>
      </c>
      <c r="F51" s="177" t="s">
        <v>76</v>
      </c>
      <c r="G51" s="118">
        <v>6</v>
      </c>
      <c r="H51" s="27"/>
      <c r="I51" s="265"/>
      <c r="J51" s="177">
        <v>14123</v>
      </c>
      <c r="K51" s="177" t="s">
        <v>81</v>
      </c>
      <c r="L51" s="221">
        <v>4.5</v>
      </c>
      <c r="M51" s="227">
        <v>12424</v>
      </c>
      <c r="N51" s="227" t="s">
        <v>46</v>
      </c>
      <c r="O51" s="72">
        <v>4.5</v>
      </c>
    </row>
    <row r="52" spans="1:15" ht="15">
      <c r="A52" s="278"/>
      <c r="B52" s="35">
        <v>12450</v>
      </c>
      <c r="C52" s="35" t="s">
        <v>96</v>
      </c>
      <c r="D52" s="118">
        <v>6</v>
      </c>
      <c r="E52" s="177">
        <v>12441</v>
      </c>
      <c r="F52" s="177" t="s">
        <v>74</v>
      </c>
      <c r="G52" s="118">
        <v>6</v>
      </c>
      <c r="H52" s="27"/>
      <c r="I52" s="265"/>
      <c r="J52" s="177">
        <v>12445</v>
      </c>
      <c r="K52" s="177" t="s">
        <v>82</v>
      </c>
      <c r="L52" s="118">
        <v>4.5</v>
      </c>
      <c r="M52" s="229">
        <v>12483</v>
      </c>
      <c r="N52" s="230" t="s">
        <v>131</v>
      </c>
      <c r="O52" s="276">
        <v>12</v>
      </c>
    </row>
    <row r="53" spans="1:15" ht="15">
      <c r="A53" s="271"/>
      <c r="B53" s="27"/>
      <c r="C53" s="27"/>
      <c r="D53" s="27"/>
      <c r="E53" s="177">
        <v>12447</v>
      </c>
      <c r="F53" s="177" t="s">
        <v>85</v>
      </c>
      <c r="G53" s="118">
        <v>6</v>
      </c>
      <c r="H53" s="27"/>
      <c r="I53" s="266"/>
      <c r="J53" s="177">
        <v>12446</v>
      </c>
      <c r="K53" s="177" t="s">
        <v>86</v>
      </c>
      <c r="L53" s="118">
        <v>6</v>
      </c>
      <c r="M53" s="231"/>
      <c r="N53" s="232"/>
      <c r="O53" s="277"/>
    </row>
    <row r="54" spans="1:15" ht="15.75" thickBot="1">
      <c r="A54" s="279"/>
      <c r="B54" s="280"/>
      <c r="C54" s="280"/>
      <c r="D54" s="281">
        <f>SUM(D48:D53)</f>
        <v>28.5</v>
      </c>
      <c r="E54" s="282"/>
      <c r="F54" s="282"/>
      <c r="G54" s="103">
        <f>SUM(G48:G53)</f>
        <v>31.5</v>
      </c>
      <c r="H54" s="280"/>
      <c r="I54" s="282"/>
      <c r="J54" s="282"/>
      <c r="K54" s="280"/>
      <c r="L54" s="103">
        <f>SUM(L48:L53)</f>
        <v>30</v>
      </c>
      <c r="M54" s="280"/>
      <c r="N54" s="280"/>
      <c r="O54" s="75">
        <f>SUM(O48:O53)</f>
        <v>30</v>
      </c>
    </row>
    <row r="55" spans="9:15" ht="15">
      <c r="I55" s="26"/>
      <c r="J55" s="26"/>
      <c r="L55" s="26"/>
      <c r="O55" s="26"/>
    </row>
  </sheetData>
  <sheetProtection algorithmName="SHA-512" hashValue="0UF7yj8u+e9LInlMhjudtANGETYGv/g/mzDz6Zquu6DAltivnqrhVg6RYbo31Jn7aOvbCpFDP3KZoxhofGN8Rw==" saltValue="gdzUPEasJ0wVbm2N44vFjA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90" zoomScaleNormal="90" workbookViewId="0" topLeftCell="A1">
      <selection activeCell="D5" sqref="D5:D14"/>
    </sheetView>
  </sheetViews>
  <sheetFormatPr defaultColWidth="11.421875" defaultRowHeight="15"/>
  <cols>
    <col min="1" max="1" width="6.57421875" style="7" customWidth="1"/>
    <col min="2" max="2" width="19.421875" style="7" bestFit="1" customWidth="1"/>
    <col min="3" max="3" width="4.28125" style="7" customWidth="1"/>
    <col min="4" max="4" width="7.28125" style="7" customWidth="1"/>
    <col min="5" max="6" width="5.00390625" style="7" customWidth="1"/>
    <col min="7" max="7" width="20.57421875" style="7" bestFit="1" customWidth="1"/>
    <col min="8" max="8" width="4.00390625" style="7" customWidth="1"/>
    <col min="9" max="9" width="7.00390625" style="7" customWidth="1"/>
    <col min="10" max="10" width="5.421875" style="7" customWidth="1"/>
    <col min="11" max="11" width="5.140625" style="7" bestFit="1" customWidth="1"/>
    <col min="12" max="12" width="20.00390625" style="7" bestFit="1" customWidth="1"/>
    <col min="13" max="13" width="3.8515625" style="7" customWidth="1"/>
    <col min="14" max="14" width="7.140625" style="7" customWidth="1"/>
    <col min="15" max="16" width="5.00390625" style="45" customWidth="1"/>
    <col min="17" max="17" width="23.28125" style="45" customWidth="1"/>
    <col min="18" max="18" width="4.00390625" style="45" customWidth="1"/>
    <col min="19" max="19" width="7.7109375" style="45" customWidth="1"/>
    <col min="20" max="20" width="2.28125" style="45" customWidth="1"/>
    <col min="21" max="21" width="9.421875" style="7" customWidth="1"/>
    <col min="22" max="22" width="6.8515625" style="7" customWidth="1"/>
    <col min="23" max="23" width="5.00390625" style="7" customWidth="1"/>
    <col min="24" max="24" width="9.140625" style="7" customWidth="1"/>
    <col min="25" max="25" width="9.7109375" style="7" customWidth="1"/>
    <col min="26" max="16384" width="11.421875" style="7" customWidth="1"/>
  </cols>
  <sheetData>
    <row r="1" spans="2:20" ht="18.75">
      <c r="B1" s="299" t="s">
        <v>242</v>
      </c>
      <c r="C1" s="300"/>
      <c r="D1" s="300"/>
      <c r="E1" s="300"/>
      <c r="F1" s="300"/>
      <c r="G1" s="300"/>
      <c r="H1" s="300"/>
      <c r="I1" s="300"/>
      <c r="J1" s="300"/>
      <c r="K1" s="300"/>
      <c r="L1" s="301"/>
      <c r="M1" s="45"/>
      <c r="N1" s="45"/>
      <c r="P1" s="7"/>
      <c r="Q1" s="293" t="s">
        <v>256</v>
      </c>
      <c r="R1" s="294"/>
      <c r="S1" s="295"/>
      <c r="T1" s="7"/>
    </row>
    <row r="2" spans="10:28" ht="15.75" thickBot="1">
      <c r="J2" s="45"/>
      <c r="Q2" s="296" t="s">
        <v>257</v>
      </c>
      <c r="R2" s="297"/>
      <c r="S2" s="298"/>
      <c r="U2" s="45"/>
      <c r="AB2" s="240"/>
    </row>
    <row r="3" spans="1:21" ht="15">
      <c r="A3" s="8"/>
      <c r="B3" s="9" t="s">
        <v>163</v>
      </c>
      <c r="C3" s="10"/>
      <c r="D3" s="62"/>
      <c r="E3" s="33"/>
      <c r="F3" s="8"/>
      <c r="G3" s="9" t="s">
        <v>164</v>
      </c>
      <c r="H3" s="10"/>
      <c r="I3" s="62"/>
      <c r="K3" s="8"/>
      <c r="L3" s="9" t="s">
        <v>158</v>
      </c>
      <c r="M3" s="10"/>
      <c r="N3" s="62"/>
      <c r="O3" s="33"/>
      <c r="Q3" s="305" t="s">
        <v>213</v>
      </c>
      <c r="R3" s="306"/>
      <c r="S3" s="64" t="s">
        <v>2</v>
      </c>
      <c r="U3" s="33"/>
    </row>
    <row r="4" spans="1:21" s="27" customFormat="1" ht="15">
      <c r="A4" s="11" t="s">
        <v>2</v>
      </c>
      <c r="B4" s="12" t="s">
        <v>231</v>
      </c>
      <c r="C4" s="13" t="s">
        <v>146</v>
      </c>
      <c r="D4" s="241"/>
      <c r="E4" s="34"/>
      <c r="F4" s="11" t="s">
        <v>2</v>
      </c>
      <c r="G4" s="12" t="s">
        <v>231</v>
      </c>
      <c r="H4" s="13" t="s">
        <v>146</v>
      </c>
      <c r="I4" s="241"/>
      <c r="K4" s="11" t="s">
        <v>2</v>
      </c>
      <c r="L4" s="12" t="s">
        <v>231</v>
      </c>
      <c r="M4" s="13" t="s">
        <v>146</v>
      </c>
      <c r="N4" s="241"/>
      <c r="O4" s="34"/>
      <c r="P4" s="364">
        <f>IF(S4&gt;0,MIN(S4,24),0)</f>
        <v>0</v>
      </c>
      <c r="Q4" s="307" t="s">
        <v>214</v>
      </c>
      <c r="R4" s="308"/>
      <c r="S4" s="1"/>
      <c r="U4" s="34"/>
    </row>
    <row r="5" spans="1:21" s="27" customFormat="1" ht="15">
      <c r="A5" s="14">
        <v>7.5</v>
      </c>
      <c r="B5" s="15" t="s">
        <v>4</v>
      </c>
      <c r="C5" s="16">
        <f>IF(D5="x",A5,0)</f>
        <v>0</v>
      </c>
      <c r="D5" s="1"/>
      <c r="E5" s="26"/>
      <c r="F5" s="14">
        <v>4.5</v>
      </c>
      <c r="G5" s="35" t="s">
        <v>43</v>
      </c>
      <c r="H5" s="16">
        <f aca="true" t="shared" si="0" ref="H5:H16">IF(I5="X",F5,0)</f>
        <v>0</v>
      </c>
      <c r="I5" s="1"/>
      <c r="K5" s="14">
        <v>7.5</v>
      </c>
      <c r="L5" s="36" t="s">
        <v>165</v>
      </c>
      <c r="M5" s="16">
        <f>IF(N5="x",K5,0)</f>
        <v>0</v>
      </c>
      <c r="N5" s="1"/>
      <c r="O5" s="52"/>
      <c r="P5" s="364">
        <f>IF(S5&gt;0,MIN(S5,18),0)</f>
        <v>0</v>
      </c>
      <c r="Q5" s="307" t="s">
        <v>215</v>
      </c>
      <c r="R5" s="308"/>
      <c r="S5" s="1"/>
      <c r="T5" s="65" t="str">
        <f>IF(S5&gt;18,"WARNING: el exceso sobre 18 ECTS en este concepto no computa","")</f>
        <v/>
      </c>
      <c r="U5" s="52"/>
    </row>
    <row r="6" spans="1:21" s="27" customFormat="1" ht="15">
      <c r="A6" s="14">
        <v>6</v>
      </c>
      <c r="B6" s="15" t="s">
        <v>7</v>
      </c>
      <c r="C6" s="16">
        <f aca="true" t="shared" si="1" ref="C6:C9">IF(D6="X",A6,0)</f>
        <v>0</v>
      </c>
      <c r="D6" s="1"/>
      <c r="E6" s="26"/>
      <c r="F6" s="14">
        <v>4.5</v>
      </c>
      <c r="G6" s="35" t="s">
        <v>148</v>
      </c>
      <c r="H6" s="16">
        <f t="shared" si="0"/>
        <v>0</v>
      </c>
      <c r="I6" s="1"/>
      <c r="K6" s="14">
        <v>4.5</v>
      </c>
      <c r="L6" s="36" t="s">
        <v>166</v>
      </c>
      <c r="M6" s="16">
        <f>IF(N6="X",K6,0)</f>
        <v>0</v>
      </c>
      <c r="N6" s="1"/>
      <c r="O6" s="52"/>
      <c r="P6" s="364">
        <f>IF(S6&gt;0,MIN(S6,6),0)</f>
        <v>0</v>
      </c>
      <c r="Q6" s="307" t="s">
        <v>254</v>
      </c>
      <c r="R6" s="308"/>
      <c r="S6" s="2"/>
      <c r="T6" s="65" t="str">
        <f>IF(S6&gt;6,"WARNING: el exceso sobre 6 ECTS en este concepto no computa","")</f>
        <v/>
      </c>
      <c r="U6" s="52"/>
    </row>
    <row r="7" spans="1:25" s="27" customFormat="1" ht="15.75" thickBot="1">
      <c r="A7" s="14">
        <v>6</v>
      </c>
      <c r="B7" s="15" t="s">
        <v>10</v>
      </c>
      <c r="C7" s="16">
        <f t="shared" si="1"/>
        <v>0</v>
      </c>
      <c r="D7" s="1"/>
      <c r="E7" s="26"/>
      <c r="F7" s="14">
        <v>6</v>
      </c>
      <c r="G7" s="15" t="s">
        <v>149</v>
      </c>
      <c r="H7" s="16">
        <f t="shared" si="0"/>
        <v>0</v>
      </c>
      <c r="I7" s="1"/>
      <c r="K7" s="14">
        <v>4.5</v>
      </c>
      <c r="L7" s="36" t="s">
        <v>167</v>
      </c>
      <c r="M7" s="16">
        <f>IF(N7="X",K7,0)</f>
        <v>0</v>
      </c>
      <c r="N7" s="1"/>
      <c r="O7" s="52"/>
      <c r="P7" s="364">
        <f>IF(S7&gt;0,MIN(S7,24),0)</f>
        <v>0</v>
      </c>
      <c r="Q7" s="309" t="s">
        <v>255</v>
      </c>
      <c r="R7" s="310"/>
      <c r="S7" s="69"/>
      <c r="T7" s="242" t="s">
        <v>243</v>
      </c>
      <c r="U7" s="243"/>
      <c r="V7" s="242"/>
      <c r="W7" s="242"/>
      <c r="X7" s="242"/>
      <c r="Y7" s="242"/>
    </row>
    <row r="8" spans="1:21" s="27" customFormat="1" ht="15.75" thickBot="1">
      <c r="A8" s="14">
        <v>6</v>
      </c>
      <c r="B8" s="15" t="s">
        <v>159</v>
      </c>
      <c r="C8" s="16">
        <f t="shared" si="1"/>
        <v>0</v>
      </c>
      <c r="D8" s="1"/>
      <c r="E8" s="26"/>
      <c r="F8" s="14">
        <v>6</v>
      </c>
      <c r="G8" s="15" t="s">
        <v>150</v>
      </c>
      <c r="H8" s="16">
        <f t="shared" si="0"/>
        <v>0</v>
      </c>
      <c r="I8" s="1"/>
      <c r="K8" s="17">
        <v>4.5</v>
      </c>
      <c r="L8" s="18" t="s">
        <v>168</v>
      </c>
      <c r="M8" s="16">
        <f>IF(N8="X",K8,0)</f>
        <v>0</v>
      </c>
      <c r="N8" s="2"/>
      <c r="O8" s="52"/>
      <c r="P8" s="364">
        <f>SUM(P4:P7)</f>
        <v>0</v>
      </c>
      <c r="Q8" s="7"/>
      <c r="R8" s="7"/>
      <c r="S8" s="63">
        <f>MIN(24,P8)</f>
        <v>0</v>
      </c>
      <c r="T8" s="55" t="str">
        <f>IF(P8&gt;24,"WARNING, el exceso sobre 24 ECTS no computa","")</f>
        <v/>
      </c>
      <c r="U8" s="52"/>
    </row>
    <row r="9" spans="1:20" s="27" customFormat="1" ht="15.75" thickBot="1">
      <c r="A9" s="17">
        <v>4.5</v>
      </c>
      <c r="B9" s="18" t="s">
        <v>160</v>
      </c>
      <c r="C9" s="16">
        <f t="shared" si="1"/>
        <v>0</v>
      </c>
      <c r="D9" s="2"/>
      <c r="E9" s="26"/>
      <c r="F9" s="14">
        <v>4.5</v>
      </c>
      <c r="G9" s="36" t="s">
        <v>151</v>
      </c>
      <c r="H9" s="16">
        <f t="shared" si="0"/>
        <v>0</v>
      </c>
      <c r="I9" s="1"/>
      <c r="K9" s="46">
        <v>4.5</v>
      </c>
      <c r="L9" s="47" t="s">
        <v>169</v>
      </c>
      <c r="M9" s="48">
        <f>IF(N9="X",K9,0)</f>
        <v>0</v>
      </c>
      <c r="N9" s="4"/>
      <c r="O9" s="52"/>
      <c r="P9" s="364"/>
      <c r="Q9" s="55"/>
      <c r="R9" s="52"/>
      <c r="T9" s="52"/>
    </row>
    <row r="10" spans="1:23" s="27" customFormat="1" ht="15.75" thickBot="1">
      <c r="A10" s="19">
        <v>7.5</v>
      </c>
      <c r="B10" s="20" t="s">
        <v>5</v>
      </c>
      <c r="C10" s="21">
        <f>IF(D10="X",A10,0)</f>
        <v>0</v>
      </c>
      <c r="D10" s="5"/>
      <c r="E10" s="26"/>
      <c r="F10" s="22">
        <v>4.5</v>
      </c>
      <c r="G10" s="23" t="s">
        <v>152</v>
      </c>
      <c r="H10" s="24">
        <f t="shared" si="0"/>
        <v>0</v>
      </c>
      <c r="I10" s="3"/>
      <c r="K10" s="25">
        <f>SUM(K5:K9)</f>
        <v>25.5</v>
      </c>
      <c r="L10" s="26"/>
      <c r="N10" s="63">
        <f>SUM(M5:M9)</f>
        <v>0</v>
      </c>
      <c r="O10" s="52"/>
      <c r="P10" s="54"/>
      <c r="Q10" s="7"/>
      <c r="R10" s="7"/>
      <c r="S10" s="7"/>
      <c r="T10" s="45"/>
      <c r="U10" s="45"/>
      <c r="V10" s="45"/>
      <c r="W10" s="45"/>
    </row>
    <row r="11" spans="1:23" ht="15">
      <c r="A11" s="14">
        <v>6</v>
      </c>
      <c r="B11" s="15" t="s">
        <v>8</v>
      </c>
      <c r="C11" s="16">
        <f>IF(D11="X",A11,0)</f>
        <v>0</v>
      </c>
      <c r="D11" s="1"/>
      <c r="E11" s="26"/>
      <c r="F11" s="19">
        <v>4.5</v>
      </c>
      <c r="G11" s="37" t="s">
        <v>156</v>
      </c>
      <c r="H11" s="21">
        <f t="shared" si="0"/>
        <v>0</v>
      </c>
      <c r="I11" s="5"/>
      <c r="K11" s="68"/>
      <c r="L11" s="68"/>
      <c r="M11" s="68"/>
      <c r="N11" s="68"/>
      <c r="O11" s="53"/>
      <c r="P11" s="54"/>
      <c r="Q11" s="67" t="s">
        <v>216</v>
      </c>
      <c r="R11" s="7"/>
      <c r="S11" s="7"/>
      <c r="T11" s="52"/>
      <c r="U11" s="52"/>
      <c r="V11" s="52"/>
      <c r="W11" s="45"/>
    </row>
    <row r="12" spans="1:24" ht="15">
      <c r="A12" s="14">
        <v>6</v>
      </c>
      <c r="B12" s="15" t="s">
        <v>147</v>
      </c>
      <c r="C12" s="16">
        <f>IF(D12="X",A12,0)</f>
        <v>0</v>
      </c>
      <c r="D12" s="1"/>
      <c r="E12" s="26"/>
      <c r="F12" s="14">
        <v>4.5</v>
      </c>
      <c r="G12" s="36" t="s">
        <v>157</v>
      </c>
      <c r="H12" s="16">
        <f t="shared" si="0"/>
        <v>0</v>
      </c>
      <c r="I12" s="1"/>
      <c r="K12" s="68"/>
      <c r="L12" s="68"/>
      <c r="M12" s="68"/>
      <c r="N12" s="68"/>
      <c r="O12" s="53"/>
      <c r="P12" s="54"/>
      <c r="Q12" s="244" t="s">
        <v>218</v>
      </c>
      <c r="R12" s="71"/>
      <c r="S12" s="118">
        <f>D15+I17+N10+S8+D34+I32+N33+S32</f>
        <v>0</v>
      </c>
      <c r="T12" s="65" t="str">
        <f>IF(S12&gt;228," WARNING: exceso de ECTS cursados","")</f>
        <v/>
      </c>
      <c r="U12" s="52"/>
      <c r="V12" s="52"/>
      <c r="W12" s="52"/>
      <c r="X12" s="45"/>
    </row>
    <row r="13" spans="1:24" ht="15">
      <c r="A13" s="14">
        <v>6</v>
      </c>
      <c r="B13" s="15" t="s">
        <v>161</v>
      </c>
      <c r="C13" s="16">
        <f>IF(D13="X",A13,0)</f>
        <v>0</v>
      </c>
      <c r="D13" s="1"/>
      <c r="E13" s="26"/>
      <c r="F13" s="14">
        <v>6</v>
      </c>
      <c r="G13" s="36" t="s">
        <v>155</v>
      </c>
      <c r="H13" s="16">
        <f t="shared" si="0"/>
        <v>0</v>
      </c>
      <c r="I13" s="1"/>
      <c r="K13" s="68"/>
      <c r="L13" s="68"/>
      <c r="M13" s="68"/>
      <c r="N13" s="68"/>
      <c r="O13" s="53"/>
      <c r="P13" s="54"/>
      <c r="Q13" s="245" t="s">
        <v>240</v>
      </c>
      <c r="R13" s="246"/>
      <c r="S13" s="247">
        <f>228-S12</f>
        <v>228</v>
      </c>
      <c r="T13" s="7"/>
      <c r="U13" s="52"/>
      <c r="V13" s="52"/>
      <c r="W13" s="52"/>
      <c r="X13" s="45"/>
    </row>
    <row r="14" spans="1:24" ht="15.75" thickBot="1">
      <c r="A14" s="22">
        <v>4.5</v>
      </c>
      <c r="B14" s="23" t="s">
        <v>162</v>
      </c>
      <c r="C14" s="24">
        <f>IF(D14="X",A14,0)</f>
        <v>0</v>
      </c>
      <c r="D14" s="3"/>
      <c r="E14" s="26"/>
      <c r="F14" s="14">
        <v>6</v>
      </c>
      <c r="G14" s="36" t="s">
        <v>154</v>
      </c>
      <c r="H14" s="16">
        <f t="shared" si="0"/>
        <v>0</v>
      </c>
      <c r="I14" s="1"/>
      <c r="K14" s="68"/>
      <c r="L14" s="68"/>
      <c r="M14" s="68"/>
      <c r="N14" s="68"/>
      <c r="O14" s="53"/>
      <c r="P14" s="54">
        <f>IF(D34&gt;MAX(I32,N33,S32),1,IF(I32&gt;MAX(D34,N33,S32),2,IF(N33&gt;MAX(D34,I32,S32),3,IF(S32&gt;MAX(D34,I32,N33),4,0))))</f>
        <v>0</v>
      </c>
      <c r="Q14" s="244" t="s">
        <v>263</v>
      </c>
      <c r="R14" s="71"/>
      <c r="S14" s="302" t="str">
        <f>IF(P$14=1,"Sistemas de Telecomunicación",IF(P$14=2,"Telemática",IF(P$14=3,"Sistemas Electrónicos",IF(P$14=4,"Sonido e imagen","Ningún itinerario"))))</f>
        <v>Ningún itinerario</v>
      </c>
      <c r="T14" s="303"/>
      <c r="U14" s="303"/>
      <c r="V14" s="303"/>
      <c r="W14" s="304"/>
      <c r="X14" s="65"/>
    </row>
    <row r="15" spans="1:24" ht="15.75" thickBot="1">
      <c r="A15" s="25">
        <f>SUM(A5:A14)</f>
        <v>60</v>
      </c>
      <c r="B15" s="26"/>
      <c r="C15" s="27"/>
      <c r="D15" s="63">
        <f>SUM(C5:C14)</f>
        <v>0</v>
      </c>
      <c r="E15" s="26"/>
      <c r="F15" s="14">
        <v>4.5</v>
      </c>
      <c r="G15" s="36" t="s">
        <v>153</v>
      </c>
      <c r="H15" s="16">
        <f t="shared" si="0"/>
        <v>0</v>
      </c>
      <c r="I15" s="1"/>
      <c r="K15" s="68"/>
      <c r="L15" s="68"/>
      <c r="M15" s="54" t="s">
        <v>266</v>
      </c>
      <c r="N15" s="54"/>
      <c r="O15" s="356"/>
      <c r="P15" s="54">
        <f>SUM(D34,I32,N33,S32)</f>
        <v>0</v>
      </c>
      <c r="Q15" s="248" t="s">
        <v>219</v>
      </c>
      <c r="R15" s="291"/>
      <c r="S15" s="118">
        <f>MAX(D34,I32,N33,S32)</f>
        <v>0</v>
      </c>
      <c r="T15" s="249" t="str">
        <f>IF(D36=1," Itinerario confirmado",IF(D36=0," No hay selección"," Itinerario NO confirmado"))</f>
        <v xml:space="preserve"> No hay selección</v>
      </c>
      <c r="U15" s="250"/>
      <c r="V15" s="250"/>
      <c r="W15" s="251"/>
      <c r="X15" s="45"/>
    </row>
    <row r="16" spans="6:24" ht="15.75" thickBot="1">
      <c r="F16" s="22">
        <v>4.5</v>
      </c>
      <c r="G16" s="23" t="s">
        <v>25</v>
      </c>
      <c r="H16" s="24">
        <f t="shared" si="0"/>
        <v>0</v>
      </c>
      <c r="I16" s="3"/>
      <c r="K16" s="68"/>
      <c r="L16" s="68"/>
      <c r="M16" s="54" t="s">
        <v>258</v>
      </c>
      <c r="N16" s="54"/>
      <c r="O16" s="356"/>
      <c r="P16" s="54">
        <f>P15+S8</f>
        <v>0</v>
      </c>
      <c r="Q16" s="252" t="s">
        <v>220</v>
      </c>
      <c r="R16" s="292"/>
      <c r="S16" s="253">
        <f>P16-S15</f>
        <v>0</v>
      </c>
      <c r="T16" s="65" t="str">
        <f>IF(S16&gt;24," WARNING: exceso de ECTS optativos","")</f>
        <v/>
      </c>
      <c r="U16" s="45"/>
      <c r="V16" s="45"/>
      <c r="W16" s="45"/>
      <c r="X16" s="45"/>
    </row>
    <row r="17" spans="5:23" ht="15.75" thickBot="1">
      <c r="E17" s="33"/>
      <c r="F17" s="25">
        <f>SUM(F5:F16)</f>
        <v>60</v>
      </c>
      <c r="G17" s="32"/>
      <c r="I17" s="63">
        <f>SUM(H5:H16)</f>
        <v>0</v>
      </c>
      <c r="K17" s="68"/>
      <c r="L17" s="68"/>
      <c r="M17" s="68"/>
      <c r="N17" s="68"/>
      <c r="O17" s="53"/>
      <c r="P17" s="7"/>
      <c r="Q17" s="57" t="str">
        <f>IF(P16&gt;82.5," WARNING: exceso de ECTS de itinerario + optativos","")</f>
        <v/>
      </c>
      <c r="R17" s="7"/>
      <c r="S17" s="65"/>
      <c r="T17" s="254" t="str">
        <f>IF(SUM(D34,I32,N33,S32)&gt;82.5," WARNING: exceso de ECTS de itinerarios","")</f>
        <v/>
      </c>
      <c r="U17" s="45"/>
      <c r="V17" s="45"/>
      <c r="W17" s="45"/>
    </row>
    <row r="18" spans="5:23" ht="15.75" thickBot="1">
      <c r="E18" s="34"/>
      <c r="F18" s="34"/>
      <c r="G18" s="34"/>
      <c r="H18" s="34"/>
      <c r="I18" s="34"/>
      <c r="O18" s="52"/>
      <c r="P18" s="7"/>
      <c r="Q18" s="7"/>
      <c r="R18" s="7"/>
      <c r="S18" s="7"/>
      <c r="U18" s="45"/>
      <c r="V18" s="45"/>
      <c r="W18" s="45"/>
    </row>
    <row r="19" spans="1:21" ht="15">
      <c r="A19" s="8"/>
      <c r="B19" s="9" t="s">
        <v>170</v>
      </c>
      <c r="C19" s="10"/>
      <c r="D19" s="62"/>
      <c r="E19" s="26"/>
      <c r="F19" s="8"/>
      <c r="G19" s="9" t="s">
        <v>26</v>
      </c>
      <c r="H19" s="10"/>
      <c r="I19" s="62"/>
      <c r="K19" s="8"/>
      <c r="L19" s="9" t="s">
        <v>191</v>
      </c>
      <c r="M19" s="10"/>
      <c r="N19" s="62"/>
      <c r="P19" s="8"/>
      <c r="Q19" s="9" t="s">
        <v>200</v>
      </c>
      <c r="R19" s="10"/>
      <c r="S19" s="62"/>
      <c r="U19" s="65" t="str">
        <f>IF(I36=1," Verifique los datos introducidos.","")</f>
        <v/>
      </c>
    </row>
    <row r="20" spans="1:21" ht="15">
      <c r="A20" s="11" t="s">
        <v>2</v>
      </c>
      <c r="B20" s="12" t="s">
        <v>231</v>
      </c>
      <c r="C20" s="13" t="s">
        <v>146</v>
      </c>
      <c r="D20" s="241"/>
      <c r="E20" s="26"/>
      <c r="F20" s="11" t="s">
        <v>2</v>
      </c>
      <c r="G20" s="12" t="s">
        <v>231</v>
      </c>
      <c r="H20" s="13" t="s">
        <v>146</v>
      </c>
      <c r="I20" s="241"/>
      <c r="K20" s="11" t="s">
        <v>2</v>
      </c>
      <c r="L20" s="12" t="s">
        <v>231</v>
      </c>
      <c r="M20" s="13" t="s">
        <v>146</v>
      </c>
      <c r="N20" s="241"/>
      <c r="O20" s="33"/>
      <c r="P20" s="11" t="s">
        <v>2</v>
      </c>
      <c r="Q20" s="12" t="s">
        <v>231</v>
      </c>
      <c r="R20" s="13" t="s">
        <v>146</v>
      </c>
      <c r="S20" s="241"/>
      <c r="T20" s="33"/>
      <c r="U20" s="65" t="str">
        <f>IF(I36=1," Si no es consciente de haber cursado un exceso de ECTS,","")</f>
        <v/>
      </c>
    </row>
    <row r="21" spans="1:21" ht="15">
      <c r="A21" s="14">
        <v>4.5</v>
      </c>
      <c r="B21" s="28" t="s">
        <v>63</v>
      </c>
      <c r="C21" s="16">
        <f aca="true" t="shared" si="2" ref="C21:C33">IF(D21="X",A21,0)</f>
        <v>0</v>
      </c>
      <c r="D21" s="1"/>
      <c r="E21" s="26"/>
      <c r="F21" s="14">
        <v>4.5</v>
      </c>
      <c r="G21" s="38" t="s">
        <v>73</v>
      </c>
      <c r="H21" s="31">
        <f aca="true" t="shared" si="3" ref="H21:H31">IF(I21="X",F21,0)</f>
        <v>0</v>
      </c>
      <c r="I21" s="1"/>
      <c r="K21" s="14">
        <v>4.5</v>
      </c>
      <c r="L21" s="49" t="s">
        <v>192</v>
      </c>
      <c r="M21" s="31">
        <f aca="true" t="shared" si="4" ref="M21:M32">IF(N21="X",K21,0)</f>
        <v>0</v>
      </c>
      <c r="N21" s="1"/>
      <c r="O21" s="34"/>
      <c r="P21" s="14">
        <v>6</v>
      </c>
      <c r="Q21" s="58" t="s">
        <v>202</v>
      </c>
      <c r="R21" s="16">
        <f>IF(S21="X",P21,0)</f>
        <v>0</v>
      </c>
      <c r="S21" s="1"/>
      <c r="T21" s="34"/>
      <c r="U21" s="65" t="str">
        <f>IF(I36=1,"póngase en contacto con los servicios administrativos.","")</f>
        <v/>
      </c>
    </row>
    <row r="22" spans="1:21" ht="15.75" thickBot="1">
      <c r="A22" s="22">
        <v>4.5</v>
      </c>
      <c r="B22" s="29" t="s">
        <v>171</v>
      </c>
      <c r="C22" s="24">
        <f t="shared" si="2"/>
        <v>0</v>
      </c>
      <c r="D22" s="3"/>
      <c r="E22" s="26"/>
      <c r="F22" s="22">
        <v>6</v>
      </c>
      <c r="G22" s="39" t="s">
        <v>183</v>
      </c>
      <c r="H22" s="40">
        <f t="shared" si="3"/>
        <v>0</v>
      </c>
      <c r="I22" s="3"/>
      <c r="K22" s="22">
        <v>6</v>
      </c>
      <c r="L22" s="50" t="s">
        <v>193</v>
      </c>
      <c r="M22" s="40">
        <f t="shared" si="4"/>
        <v>0</v>
      </c>
      <c r="N22" s="3"/>
      <c r="O22" s="52"/>
      <c r="P22" s="22">
        <v>6</v>
      </c>
      <c r="Q22" s="59" t="s">
        <v>203</v>
      </c>
      <c r="R22" s="24">
        <f aca="true" t="shared" si="5" ref="R22">IF(S22="X",P22,0)</f>
        <v>0</v>
      </c>
      <c r="S22" s="3"/>
      <c r="T22" s="52"/>
      <c r="U22" s="65"/>
    </row>
    <row r="23" spans="1:21" ht="15">
      <c r="A23" s="19">
        <v>4.5</v>
      </c>
      <c r="B23" s="30" t="s">
        <v>172</v>
      </c>
      <c r="C23" s="21">
        <f t="shared" si="2"/>
        <v>0</v>
      </c>
      <c r="D23" s="5"/>
      <c r="E23" s="26"/>
      <c r="F23" s="19">
        <v>6</v>
      </c>
      <c r="G23" s="41" t="s">
        <v>184</v>
      </c>
      <c r="H23" s="42">
        <f t="shared" si="3"/>
        <v>0</v>
      </c>
      <c r="I23" s="5"/>
      <c r="K23" s="19">
        <v>4.5</v>
      </c>
      <c r="L23" s="51" t="s">
        <v>194</v>
      </c>
      <c r="M23" s="42">
        <f t="shared" si="4"/>
        <v>0</v>
      </c>
      <c r="N23" s="5"/>
      <c r="O23" s="52"/>
      <c r="P23" s="19">
        <v>6</v>
      </c>
      <c r="Q23" s="60" t="s">
        <v>204</v>
      </c>
      <c r="R23" s="21">
        <f aca="true" t="shared" si="6" ref="R23:R31">IF(S23="X",P23,0)</f>
        <v>0</v>
      </c>
      <c r="S23" s="5"/>
      <c r="T23" s="52"/>
      <c r="U23" s="7" t="str">
        <f>IF(I36=1,"Si desea proseguir con la simulación, ","")</f>
        <v/>
      </c>
    </row>
    <row r="24" spans="1:21" ht="15">
      <c r="A24" s="14">
        <v>4.5</v>
      </c>
      <c r="B24" s="28" t="s">
        <v>173</v>
      </c>
      <c r="C24" s="31">
        <f t="shared" si="2"/>
        <v>0</v>
      </c>
      <c r="D24" s="1"/>
      <c r="E24" s="26"/>
      <c r="F24" s="14">
        <v>6</v>
      </c>
      <c r="G24" s="38" t="s">
        <v>185</v>
      </c>
      <c r="H24" s="31">
        <f t="shared" si="3"/>
        <v>0</v>
      </c>
      <c r="I24" s="1"/>
      <c r="K24" s="14">
        <v>4.5</v>
      </c>
      <c r="L24" s="49" t="s">
        <v>93</v>
      </c>
      <c r="M24" s="31">
        <f t="shared" si="4"/>
        <v>0</v>
      </c>
      <c r="N24" s="1"/>
      <c r="O24" s="52"/>
      <c r="P24" s="14">
        <v>6</v>
      </c>
      <c r="Q24" s="58" t="s">
        <v>205</v>
      </c>
      <c r="R24" s="31">
        <f t="shared" si="6"/>
        <v>0</v>
      </c>
      <c r="S24" s="1"/>
      <c r="T24" s="52"/>
      <c r="U24" s="7" t="str">
        <f>IF(I36=1,"marque una x en la casilla coloreada","")</f>
        <v/>
      </c>
    </row>
    <row r="25" spans="1:22" ht="15.75" thickBot="1">
      <c r="A25" s="14">
        <v>4.5</v>
      </c>
      <c r="B25" s="28" t="s">
        <v>174</v>
      </c>
      <c r="C25" s="16">
        <f t="shared" si="2"/>
        <v>0</v>
      </c>
      <c r="D25" s="1"/>
      <c r="E25" s="26"/>
      <c r="F25" s="22">
        <v>6</v>
      </c>
      <c r="G25" s="39" t="s">
        <v>81</v>
      </c>
      <c r="H25" s="40">
        <f t="shared" si="3"/>
        <v>0</v>
      </c>
      <c r="I25" s="3"/>
      <c r="K25" s="14">
        <v>4.5</v>
      </c>
      <c r="L25" s="49" t="s">
        <v>92</v>
      </c>
      <c r="M25" s="31">
        <f t="shared" si="4"/>
        <v>0</v>
      </c>
      <c r="N25" s="1"/>
      <c r="O25" s="52"/>
      <c r="P25" s="22">
        <v>4.5</v>
      </c>
      <c r="Q25" s="59" t="s">
        <v>206</v>
      </c>
      <c r="R25" s="24">
        <f t="shared" si="6"/>
        <v>0</v>
      </c>
      <c r="S25" s="3"/>
      <c r="T25" s="52"/>
      <c r="V25" s="365" t="s">
        <v>241</v>
      </c>
    </row>
    <row r="26" spans="1:21" ht="15.75" thickBot="1">
      <c r="A26" s="22">
        <v>4.5</v>
      </c>
      <c r="B26" s="29" t="s">
        <v>175</v>
      </c>
      <c r="C26" s="24">
        <f t="shared" si="2"/>
        <v>0</v>
      </c>
      <c r="D26" s="3"/>
      <c r="E26" s="26"/>
      <c r="F26" s="43">
        <v>4.5</v>
      </c>
      <c r="G26" s="44" t="s">
        <v>186</v>
      </c>
      <c r="H26" s="31">
        <f t="shared" si="3"/>
        <v>0</v>
      </c>
      <c r="I26" s="6"/>
      <c r="K26" s="22">
        <v>6</v>
      </c>
      <c r="L26" s="50" t="s">
        <v>196</v>
      </c>
      <c r="M26" s="40">
        <f t="shared" si="4"/>
        <v>0</v>
      </c>
      <c r="N26" s="3"/>
      <c r="O26" s="52"/>
      <c r="P26" s="43">
        <v>4.5</v>
      </c>
      <c r="Q26" s="61" t="s">
        <v>207</v>
      </c>
      <c r="R26" s="16">
        <f t="shared" si="6"/>
        <v>0</v>
      </c>
      <c r="S26" s="6"/>
      <c r="T26" s="52"/>
      <c r="U26" s="7" t="str">
        <f>IF(I36=1,"El simulador realizará una simulación lo más conveniente posible","")</f>
        <v/>
      </c>
    </row>
    <row r="27" spans="1:20" ht="15">
      <c r="A27" s="19">
        <v>4.5</v>
      </c>
      <c r="B27" s="30" t="s">
        <v>176</v>
      </c>
      <c r="C27" s="21">
        <f t="shared" si="2"/>
        <v>0</v>
      </c>
      <c r="D27" s="5"/>
      <c r="E27" s="26"/>
      <c r="F27" s="14">
        <v>6</v>
      </c>
      <c r="G27" s="38" t="s">
        <v>187</v>
      </c>
      <c r="H27" s="31">
        <f t="shared" si="3"/>
        <v>0</v>
      </c>
      <c r="I27" s="1"/>
      <c r="K27" s="19">
        <v>6</v>
      </c>
      <c r="L27" s="51" t="s">
        <v>195</v>
      </c>
      <c r="M27" s="42">
        <f t="shared" si="4"/>
        <v>0</v>
      </c>
      <c r="N27" s="5"/>
      <c r="O27" s="52"/>
      <c r="P27" s="14">
        <v>4.5</v>
      </c>
      <c r="Q27" s="58" t="s">
        <v>208</v>
      </c>
      <c r="R27" s="16">
        <f t="shared" si="6"/>
        <v>0</v>
      </c>
      <c r="S27" s="1"/>
      <c r="T27" s="52"/>
    </row>
    <row r="28" spans="1:20" ht="15">
      <c r="A28" s="14">
        <v>4.5</v>
      </c>
      <c r="B28" s="28" t="s">
        <v>177</v>
      </c>
      <c r="C28" s="16">
        <f t="shared" si="2"/>
        <v>0</v>
      </c>
      <c r="D28" s="1"/>
      <c r="E28" s="26"/>
      <c r="F28" s="14">
        <v>4.5</v>
      </c>
      <c r="G28" s="38" t="s">
        <v>188</v>
      </c>
      <c r="H28" s="31">
        <f t="shared" si="3"/>
        <v>0</v>
      </c>
      <c r="I28" s="1"/>
      <c r="K28" s="14">
        <v>4.5</v>
      </c>
      <c r="L28" s="49" t="s">
        <v>197</v>
      </c>
      <c r="M28" s="31">
        <f t="shared" si="4"/>
        <v>0</v>
      </c>
      <c r="N28" s="1"/>
      <c r="O28" s="52"/>
      <c r="P28" s="14">
        <v>6</v>
      </c>
      <c r="Q28" s="58" t="s">
        <v>209</v>
      </c>
      <c r="R28" s="16">
        <f t="shared" si="6"/>
        <v>0</v>
      </c>
      <c r="S28" s="1"/>
      <c r="T28" s="52"/>
    </row>
    <row r="29" spans="1:20" ht="15.75" thickBot="1">
      <c r="A29" s="14">
        <v>4.5</v>
      </c>
      <c r="B29" s="28" t="s">
        <v>178</v>
      </c>
      <c r="C29" s="16">
        <f t="shared" si="2"/>
        <v>0</v>
      </c>
      <c r="D29" s="1"/>
      <c r="E29" s="26"/>
      <c r="F29" s="22">
        <v>6</v>
      </c>
      <c r="G29" s="39" t="s">
        <v>86</v>
      </c>
      <c r="H29" s="40">
        <f t="shared" si="3"/>
        <v>0</v>
      </c>
      <c r="I29" s="3"/>
      <c r="K29" s="14">
        <v>4.5</v>
      </c>
      <c r="L29" s="49" t="s">
        <v>201</v>
      </c>
      <c r="M29" s="31">
        <f t="shared" si="4"/>
        <v>0</v>
      </c>
      <c r="N29" s="1"/>
      <c r="O29" s="52"/>
      <c r="P29" s="22">
        <v>6</v>
      </c>
      <c r="Q29" s="59" t="s">
        <v>210</v>
      </c>
      <c r="R29" s="24">
        <f t="shared" si="6"/>
        <v>0</v>
      </c>
      <c r="S29" s="3"/>
      <c r="T29" s="52"/>
    </row>
    <row r="30" spans="1:20" ht="15.75" thickBot="1">
      <c r="A30" s="14">
        <v>4.5</v>
      </c>
      <c r="B30" s="28" t="s">
        <v>179</v>
      </c>
      <c r="C30" s="16">
        <f t="shared" si="2"/>
        <v>0</v>
      </c>
      <c r="D30" s="1"/>
      <c r="E30" s="26"/>
      <c r="F30" s="19">
        <v>4.5</v>
      </c>
      <c r="G30" s="41" t="s">
        <v>189</v>
      </c>
      <c r="H30" s="42">
        <f t="shared" si="3"/>
        <v>0</v>
      </c>
      <c r="I30" s="5"/>
      <c r="K30" s="22">
        <v>4.5</v>
      </c>
      <c r="L30" s="50" t="s">
        <v>228</v>
      </c>
      <c r="M30" s="40">
        <f t="shared" si="4"/>
        <v>0</v>
      </c>
      <c r="N30" s="3"/>
      <c r="O30" s="52"/>
      <c r="P30" s="19">
        <v>4.5</v>
      </c>
      <c r="Q30" s="60" t="s">
        <v>211</v>
      </c>
      <c r="R30" s="21">
        <f t="shared" si="6"/>
        <v>0</v>
      </c>
      <c r="S30" s="5"/>
      <c r="T30" s="52"/>
    </row>
    <row r="31" spans="1:20" ht="15.75" thickBot="1">
      <c r="A31" s="22">
        <v>4.5</v>
      </c>
      <c r="B31" s="29" t="s">
        <v>180</v>
      </c>
      <c r="C31" s="24">
        <f t="shared" si="2"/>
        <v>0</v>
      </c>
      <c r="D31" s="3"/>
      <c r="E31" s="26"/>
      <c r="F31" s="22">
        <v>4.5</v>
      </c>
      <c r="G31" s="39" t="s">
        <v>190</v>
      </c>
      <c r="H31" s="40">
        <f t="shared" si="3"/>
        <v>0</v>
      </c>
      <c r="I31" s="3"/>
      <c r="K31" s="19">
        <v>4.5</v>
      </c>
      <c r="L31" s="51" t="s">
        <v>198</v>
      </c>
      <c r="M31" s="42">
        <f t="shared" si="4"/>
        <v>0</v>
      </c>
      <c r="N31" s="5"/>
      <c r="P31" s="22">
        <v>4.5</v>
      </c>
      <c r="Q31" s="59" t="s">
        <v>212</v>
      </c>
      <c r="R31" s="24">
        <f t="shared" si="6"/>
        <v>0</v>
      </c>
      <c r="S31" s="3"/>
      <c r="T31" s="52"/>
    </row>
    <row r="32" spans="1:20" ht="15.75" thickBot="1">
      <c r="A32" s="19">
        <v>4.5</v>
      </c>
      <c r="B32" s="30" t="s">
        <v>181</v>
      </c>
      <c r="C32" s="21">
        <f t="shared" si="2"/>
        <v>0</v>
      </c>
      <c r="D32" s="5"/>
      <c r="F32" s="25">
        <f>SUM(F21:F31)</f>
        <v>58.5</v>
      </c>
      <c r="G32" s="32"/>
      <c r="I32" s="63">
        <f>SUM(H21:H31)</f>
        <v>0</v>
      </c>
      <c r="K32" s="22">
        <v>4.5</v>
      </c>
      <c r="L32" s="50" t="s">
        <v>199</v>
      </c>
      <c r="M32" s="40">
        <f t="shared" si="4"/>
        <v>0</v>
      </c>
      <c r="N32" s="3"/>
      <c r="P32" s="25">
        <f>SUM(P21:P31)</f>
        <v>58.5</v>
      </c>
      <c r="Q32" s="32"/>
      <c r="R32" s="7"/>
      <c r="S32" s="63">
        <f>SUM(R21:R31)</f>
        <v>0</v>
      </c>
      <c r="T32" s="52"/>
    </row>
    <row r="33" spans="1:20" ht="15.75" thickBot="1">
      <c r="A33" s="22">
        <v>4.5</v>
      </c>
      <c r="B33" s="29" t="s">
        <v>182</v>
      </c>
      <c r="C33" s="24">
        <f t="shared" si="2"/>
        <v>0</v>
      </c>
      <c r="D33" s="3"/>
      <c r="I33" s="255"/>
      <c r="K33" s="25">
        <f>SUM(K21:K32)</f>
        <v>58.5</v>
      </c>
      <c r="L33" s="32"/>
      <c r="N33" s="63">
        <f>SUM(M21:M32)</f>
        <v>0</v>
      </c>
      <c r="P33" s="256"/>
      <c r="Q33" s="256"/>
      <c r="R33" s="7"/>
      <c r="S33" s="255"/>
      <c r="T33" s="52"/>
    </row>
    <row r="34" spans="1:19" ht="15.75" thickBot="1">
      <c r="A34" s="25">
        <f>SUM(A21:A33)</f>
        <v>58.5</v>
      </c>
      <c r="B34" s="32"/>
      <c r="D34" s="63">
        <f>SUM(C21:C33)</f>
        <v>0</v>
      </c>
      <c r="I34" s="68"/>
      <c r="N34" s="255"/>
      <c r="P34" s="256"/>
      <c r="Q34" s="256"/>
      <c r="R34" s="53"/>
      <c r="S34" s="257"/>
    </row>
    <row r="35" spans="3:20" s="54" customFormat="1" ht="15">
      <c r="C35" s="358" t="s">
        <v>296</v>
      </c>
      <c r="D35" s="357" t="str">
        <f>IF(D34&gt;24,"SÍ",IF(I32+N33+S32+S8&lt;24,IF(D34&gt;=13.5,"Sí","Posible"),"No"))</f>
        <v>Posible</v>
      </c>
      <c r="H35" s="358" t="s">
        <v>296</v>
      </c>
      <c r="I35" s="357" t="str">
        <f>IF(I32&gt;24,"SÍ",IF(D34+N33+S32+S8&lt;24,IF(I32&gt;=13.5,"Sí","Posible"),"No"))</f>
        <v>Posible</v>
      </c>
      <c r="M35" s="358" t="s">
        <v>296</v>
      </c>
      <c r="N35" s="357" t="str">
        <f>IF(N33&gt;24,"SÍ",IF(D34+I32+S32+S8&lt;24,IF(N33&gt;=13.5,"Sí","Posible"),"No"))</f>
        <v>Posible</v>
      </c>
      <c r="O35" s="359"/>
      <c r="P35" s="359"/>
      <c r="Q35" s="359"/>
      <c r="R35" s="358" t="s">
        <v>296</v>
      </c>
      <c r="S35" s="357" t="str">
        <f>IF(S32&gt;24,"SÍ",IF(D34+I32+N33+S8&lt;24,IF(S32&gt;=13.5,"Sí","Posible"),"No"))</f>
        <v>Posible</v>
      </c>
      <c r="T35" s="359"/>
    </row>
    <row r="36" spans="3:20" s="54" customFormat="1" ht="15">
      <c r="C36" s="358" t="s">
        <v>297</v>
      </c>
      <c r="D36" s="357">
        <f>COUNTIF(D35:S35,"SÍ")</f>
        <v>0</v>
      </c>
      <c r="H36" s="362" t="s">
        <v>267</v>
      </c>
      <c r="I36" s="363">
        <f>IF(OR(P16&gt;82.5,P15&gt;82.5,S16&gt;24,P8&gt;24),1,0)</f>
        <v>0</v>
      </c>
      <c r="O36" s="359"/>
      <c r="P36" s="359"/>
      <c r="Q36" s="359"/>
      <c r="R36" s="356"/>
      <c r="S36" s="359"/>
      <c r="T36" s="359"/>
    </row>
    <row r="37" spans="2:14" ht="15">
      <c r="B37" s="68"/>
      <c r="C37" s="259"/>
      <c r="D37" s="68"/>
      <c r="E37" s="68"/>
      <c r="F37" s="54"/>
      <c r="G37" s="68"/>
      <c r="H37" s="54"/>
      <c r="I37" s="68"/>
      <c r="J37" s="68"/>
      <c r="K37" s="68"/>
      <c r="L37" s="68"/>
      <c r="M37" s="54"/>
      <c r="N37" s="54"/>
    </row>
    <row r="38" spans="10:12" ht="15">
      <c r="J38" s="68"/>
      <c r="K38" s="68"/>
      <c r="L38" s="68"/>
    </row>
  </sheetData>
  <sheetProtection algorithmName="SHA-512" hashValue="PoVBd7Pg+Q+K5uVkxwhu75lUEZm3bKmNd9cL9GMMXEvbE275vlN3gB4c4390p/HPSdyE1JQlnszSO/V21K2K+Q==" saltValue="GXkg4mPom6dK2UvqjCNZfg==" spinCount="100000" sheet="1" objects="1" scenarios="1"/>
  <mergeCells count="9">
    <mergeCell ref="Q1:S1"/>
    <mergeCell ref="Q2:S2"/>
    <mergeCell ref="B1:L1"/>
    <mergeCell ref="S14:W14"/>
    <mergeCell ref="Q3:R3"/>
    <mergeCell ref="Q4:R4"/>
    <mergeCell ref="Q5:R5"/>
    <mergeCell ref="Q6:R6"/>
    <mergeCell ref="Q7:R7"/>
  </mergeCells>
  <conditionalFormatting sqref="S12:S16">
    <cfRule type="expression" priority="2" dxfId="10">
      <formula>$S$12&gt;228</formula>
    </cfRule>
  </conditionalFormatting>
  <conditionalFormatting sqref="V25">
    <cfRule type="expression" priority="1" dxfId="9">
      <formula>$I$36=1</formula>
    </cfRule>
  </conditionalFormatting>
  <dataValidations count="3">
    <dataValidation errorStyle="warning" type="decimal" operator="lessThanOrEqual" allowBlank="1" showInputMessage="1" showErrorMessage="1" error="El reconocimiento máximo por prácticas en empresa son 18 ECTS" sqref="S5">
      <formula1>18</formula1>
    </dataValidation>
    <dataValidation errorStyle="warning" type="decimal" operator="lessThanOrEqual" allowBlank="1" showInputMessage="1" showErrorMessage="1" error="No se van a reconocer más de 24 ECTS en la materia Optativa" sqref="S7 S4">
      <formula1>24</formula1>
    </dataValidation>
    <dataValidation errorStyle="warning" type="decimal" operator="lessThanOrEqual" allowBlank="1" showInputMessage="1" showErrorMessage="1" error="El reconocimiento máximo reconocimiento por actividades es 6 ECTS" sqref="S6">
      <formula1>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zoomScale="90" zoomScaleNormal="90" workbookViewId="0" topLeftCell="A1">
      <selection activeCell="I30" sqref="I30"/>
    </sheetView>
  </sheetViews>
  <sheetFormatPr defaultColWidth="11.421875" defaultRowHeight="15"/>
  <cols>
    <col min="1" max="1" width="5.140625" style="7" bestFit="1" customWidth="1"/>
    <col min="2" max="2" width="19.421875" style="7" bestFit="1" customWidth="1"/>
    <col min="3" max="3" width="2.00390625" style="7" customWidth="1"/>
    <col min="4" max="4" width="11.421875" style="7" customWidth="1"/>
    <col min="5" max="5" width="4.7109375" style="7" customWidth="1"/>
    <col min="6" max="6" width="5.140625" style="7" bestFit="1" customWidth="1"/>
    <col min="7" max="7" width="20.8515625" style="7" customWidth="1"/>
    <col min="8" max="8" width="2.28125" style="7" customWidth="1"/>
    <col min="9" max="9" width="11.421875" style="7" customWidth="1"/>
    <col min="10" max="10" width="4.421875" style="7" customWidth="1"/>
    <col min="11" max="11" width="5.140625" style="7" bestFit="1" customWidth="1"/>
    <col min="12" max="12" width="20.57421875" style="7" bestFit="1" customWidth="1"/>
    <col min="13" max="13" width="2.421875" style="7" customWidth="1"/>
    <col min="14" max="14" width="11.421875" style="7" customWidth="1"/>
    <col min="15" max="15" width="5.57421875" style="7" customWidth="1"/>
    <col min="16" max="16" width="5.140625" style="7" bestFit="1" customWidth="1"/>
    <col min="17" max="17" width="20.421875" style="7" customWidth="1"/>
    <col min="18" max="18" width="2.140625" style="7" customWidth="1"/>
    <col min="19" max="19" width="11.421875" style="7" customWidth="1"/>
    <col min="20" max="20" width="6.00390625" style="7" customWidth="1"/>
    <col min="21" max="21" width="5.140625" style="7" bestFit="1" customWidth="1"/>
    <col min="22" max="22" width="21.57421875" style="7" bestFit="1" customWidth="1"/>
    <col min="23" max="23" width="2.7109375" style="7" customWidth="1"/>
    <col min="24" max="16384" width="11.421875" style="7" customWidth="1"/>
  </cols>
  <sheetData>
    <row r="1" spans="2:17" s="7" customFormat="1" ht="15">
      <c r="B1" s="311" t="s">
        <v>248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3"/>
    </row>
    <row r="2" spans="2:17" s="7" customFormat="1" ht="15">
      <c r="B2" s="314" t="s">
        <v>244</v>
      </c>
      <c r="C2" s="315"/>
      <c r="D2" s="315" t="s">
        <v>249</v>
      </c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</row>
    <row r="3" spans="2:17" s="7" customFormat="1" ht="15">
      <c r="B3" s="314" t="s">
        <v>245</v>
      </c>
      <c r="C3" s="315"/>
      <c r="D3" s="315" t="s">
        <v>250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</row>
    <row r="4" spans="2:17" s="7" customFormat="1" ht="15">
      <c r="B4" s="314" t="s">
        <v>246</v>
      </c>
      <c r="C4" s="315"/>
      <c r="D4" s="315" t="s">
        <v>251</v>
      </c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6"/>
    </row>
    <row r="5" spans="2:17" s="7" customFormat="1" ht="15">
      <c r="B5" s="314" t="s">
        <v>298</v>
      </c>
      <c r="C5" s="315"/>
      <c r="D5" s="315" t="s">
        <v>299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</row>
    <row r="6" spans="2:17" s="7" customFormat="1" ht="15">
      <c r="B6" s="314" t="s">
        <v>247</v>
      </c>
      <c r="C6" s="315"/>
      <c r="D6" s="315" t="s">
        <v>288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2:17" s="7" customFormat="1" ht="15.75" thickBot="1">
      <c r="B7" s="317" t="s">
        <v>260</v>
      </c>
      <c r="C7" s="318"/>
      <c r="D7" s="318" t="s">
        <v>289</v>
      </c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9"/>
    </row>
    <row r="8" s="7" customFormat="1" ht="15.75" thickBot="1"/>
    <row r="9" spans="1:19" s="7" customFormat="1" ht="15">
      <c r="A9" s="8"/>
      <c r="B9" s="9" t="s">
        <v>163</v>
      </c>
      <c r="C9" s="10"/>
      <c r="D9" s="62"/>
      <c r="E9" s="33"/>
      <c r="F9" s="8"/>
      <c r="G9" s="9" t="s">
        <v>164</v>
      </c>
      <c r="H9" s="10"/>
      <c r="I9" s="62"/>
      <c r="K9" s="8"/>
      <c r="L9" s="9" t="s">
        <v>158</v>
      </c>
      <c r="M9" s="10"/>
      <c r="N9" s="62"/>
      <c r="P9" s="8"/>
      <c r="Q9" s="9" t="s">
        <v>225</v>
      </c>
      <c r="R9" s="10"/>
      <c r="S9" s="62"/>
    </row>
    <row r="10" spans="1:19" s="7" customFormat="1" ht="15">
      <c r="A10" s="11" t="s">
        <v>2</v>
      </c>
      <c r="B10" s="12" t="s">
        <v>231</v>
      </c>
      <c r="C10" s="13"/>
      <c r="D10" s="66" t="s">
        <v>222</v>
      </c>
      <c r="E10" s="320"/>
      <c r="F10" s="11" t="s">
        <v>2</v>
      </c>
      <c r="G10" s="12" t="s">
        <v>231</v>
      </c>
      <c r="H10" s="13"/>
      <c r="I10" s="66" t="s">
        <v>222</v>
      </c>
      <c r="K10" s="11" t="s">
        <v>2</v>
      </c>
      <c r="L10" s="12" t="s">
        <v>231</v>
      </c>
      <c r="M10" s="13"/>
      <c r="N10" s="66" t="s">
        <v>222</v>
      </c>
      <c r="P10" s="11" t="s">
        <v>2</v>
      </c>
      <c r="Q10" s="12" t="s">
        <v>231</v>
      </c>
      <c r="R10" s="13"/>
      <c r="S10" s="66" t="s">
        <v>222</v>
      </c>
    </row>
    <row r="11" spans="1:19" s="7" customFormat="1" ht="15.75" thickBot="1">
      <c r="A11" s="14">
        <v>7.5</v>
      </c>
      <c r="B11" s="15" t="s">
        <v>4</v>
      </c>
      <c r="C11" s="16">
        <f aca="true" t="shared" si="0" ref="C11:C20">IF(D11="Reconocida",A11,0)</f>
        <v>0</v>
      </c>
      <c r="D11" s="72" t="str">
        <f>IF($D$65=1,D51,"")</f>
        <v>Pendiente</v>
      </c>
      <c r="E11" s="356">
        <f>IF(D11="Pendiente",A11,0)</f>
        <v>7.5</v>
      </c>
      <c r="F11" s="14">
        <v>4.5</v>
      </c>
      <c r="G11" s="35" t="s">
        <v>43</v>
      </c>
      <c r="H11" s="16">
        <f aca="true" t="shared" si="1" ref="H11:H22">IF(I11="Reconocida",F11,0)</f>
        <v>0</v>
      </c>
      <c r="I11" s="72" t="str">
        <f aca="true" t="shared" si="2" ref="I11:I22">IF($D$65=1,I51,"")</f>
        <v>Pendiente</v>
      </c>
      <c r="J11" s="357">
        <f aca="true" t="shared" si="3" ref="J11:J22">IF(I11="Pendiente",F11,0)</f>
        <v>4.5</v>
      </c>
      <c r="K11" s="14">
        <v>7.5</v>
      </c>
      <c r="L11" s="36" t="s">
        <v>165</v>
      </c>
      <c r="M11" s="16">
        <f aca="true" t="shared" si="4" ref="M11:M18">IF(N11="Reconocida",K11,0)</f>
        <v>0</v>
      </c>
      <c r="N11" s="72" t="str">
        <f aca="true" t="shared" si="5" ref="N11:N18">IF($D$65=1,N51,"")</f>
        <v>Pendiente</v>
      </c>
      <c r="O11" s="357">
        <f aca="true" t="shared" si="6" ref="O11:O18">IF(N11="Pendiente",K11,0)</f>
        <v>7.5</v>
      </c>
      <c r="P11" s="14">
        <v>4.5</v>
      </c>
      <c r="Q11" s="73" t="s">
        <v>180</v>
      </c>
      <c r="R11" s="16"/>
      <c r="S11" s="75" t="str">
        <f aca="true" t="shared" si="7" ref="S11:S13">IF($D$65=1,IF(AND(S51="Opcional",S$60&gt;=18),"n/a",S51),"")</f>
        <v>Opcional</v>
      </c>
    </row>
    <row r="12" spans="1:19" s="7" customFormat="1" ht="15.75" thickBot="1">
      <c r="A12" s="14">
        <v>6</v>
      </c>
      <c r="B12" s="15" t="s">
        <v>7</v>
      </c>
      <c r="C12" s="16">
        <f t="shared" si="0"/>
        <v>0</v>
      </c>
      <c r="D12" s="72" t="str">
        <f aca="true" t="shared" si="8" ref="D12:D20">IF($D$65=1,D52,"")</f>
        <v>Pendiente</v>
      </c>
      <c r="E12" s="356">
        <f aca="true" t="shared" si="9" ref="E12:E20">IF(D12="Pendiente",A12,0)</f>
        <v>6</v>
      </c>
      <c r="F12" s="14">
        <v>4.5</v>
      </c>
      <c r="G12" s="35" t="s">
        <v>148</v>
      </c>
      <c r="H12" s="16">
        <f t="shared" si="1"/>
        <v>0</v>
      </c>
      <c r="I12" s="72" t="str">
        <f t="shared" si="2"/>
        <v>Pendiente</v>
      </c>
      <c r="J12" s="357">
        <f t="shared" si="3"/>
        <v>4.5</v>
      </c>
      <c r="K12" s="14">
        <v>4.5</v>
      </c>
      <c r="L12" s="36" t="s">
        <v>166</v>
      </c>
      <c r="M12" s="16">
        <f t="shared" si="4"/>
        <v>0</v>
      </c>
      <c r="N12" s="72" t="str">
        <f t="shared" si="5"/>
        <v>Pendiente</v>
      </c>
      <c r="O12" s="357">
        <f t="shared" si="6"/>
        <v>4.5</v>
      </c>
      <c r="P12" s="14">
        <v>4.5</v>
      </c>
      <c r="Q12" s="73" t="s">
        <v>199</v>
      </c>
      <c r="R12" s="16"/>
      <c r="S12" s="75" t="str">
        <f t="shared" si="7"/>
        <v>Opcional</v>
      </c>
    </row>
    <row r="13" spans="1:19" s="7" customFormat="1" ht="15.75" thickBot="1">
      <c r="A13" s="14">
        <v>6</v>
      </c>
      <c r="B13" s="15" t="s">
        <v>10</v>
      </c>
      <c r="C13" s="16">
        <f t="shared" si="0"/>
        <v>0</v>
      </c>
      <c r="D13" s="72" t="str">
        <f t="shared" si="8"/>
        <v>Pendiente</v>
      </c>
      <c r="E13" s="356">
        <f t="shared" si="9"/>
        <v>6</v>
      </c>
      <c r="F13" s="14">
        <v>6</v>
      </c>
      <c r="G13" s="15" t="s">
        <v>149</v>
      </c>
      <c r="H13" s="16">
        <f t="shared" si="1"/>
        <v>0</v>
      </c>
      <c r="I13" s="72" t="str">
        <f t="shared" si="2"/>
        <v>Pendiente</v>
      </c>
      <c r="J13" s="357">
        <f t="shared" si="3"/>
        <v>6</v>
      </c>
      <c r="K13" s="14">
        <v>4.5</v>
      </c>
      <c r="L13" s="36" t="s">
        <v>167</v>
      </c>
      <c r="M13" s="16">
        <f t="shared" si="4"/>
        <v>0</v>
      </c>
      <c r="N13" s="72" t="str">
        <f t="shared" si="5"/>
        <v>Pendiente</v>
      </c>
      <c r="O13" s="357">
        <f t="shared" si="6"/>
        <v>4.5</v>
      </c>
      <c r="P13" s="14">
        <v>4.5</v>
      </c>
      <c r="Q13" s="73" t="s">
        <v>168</v>
      </c>
      <c r="R13" s="16"/>
      <c r="S13" s="75" t="str">
        <f t="shared" si="7"/>
        <v>Opcional</v>
      </c>
    </row>
    <row r="14" spans="1:19" s="7" customFormat="1" ht="15.75" thickBot="1">
      <c r="A14" s="14">
        <v>6</v>
      </c>
      <c r="B14" s="15" t="s">
        <v>161</v>
      </c>
      <c r="C14" s="16">
        <f t="shared" si="0"/>
        <v>0</v>
      </c>
      <c r="D14" s="72" t="str">
        <f t="shared" si="8"/>
        <v>Pendiente</v>
      </c>
      <c r="E14" s="356">
        <f t="shared" si="9"/>
        <v>6</v>
      </c>
      <c r="F14" s="14">
        <v>6</v>
      </c>
      <c r="G14" s="15" t="s">
        <v>150</v>
      </c>
      <c r="H14" s="16">
        <f t="shared" si="1"/>
        <v>0</v>
      </c>
      <c r="I14" s="72" t="str">
        <f t="shared" si="2"/>
        <v>Pendiente</v>
      </c>
      <c r="J14" s="357">
        <f t="shared" si="3"/>
        <v>6</v>
      </c>
      <c r="K14" s="14">
        <v>6</v>
      </c>
      <c r="L14" s="35" t="s">
        <v>203</v>
      </c>
      <c r="M14" s="16">
        <f t="shared" si="4"/>
        <v>0</v>
      </c>
      <c r="N14" s="72" t="str">
        <f t="shared" si="5"/>
        <v>Pendiente</v>
      </c>
      <c r="O14" s="357">
        <f t="shared" si="6"/>
        <v>6</v>
      </c>
      <c r="P14" s="22">
        <v>4.5</v>
      </c>
      <c r="Q14" s="74" t="s">
        <v>226</v>
      </c>
      <c r="R14" s="24"/>
      <c r="S14" s="75" t="str">
        <f>IF($D$65=1,IF(AND(S54="Opcional",S$60&gt;=18),"n/a",S54),"")</f>
        <v>Opcional</v>
      </c>
    </row>
    <row r="15" spans="1:19" s="7" customFormat="1" ht="15.75" thickBot="1">
      <c r="A15" s="17">
        <v>4.5</v>
      </c>
      <c r="B15" s="18" t="s">
        <v>160</v>
      </c>
      <c r="C15" s="16">
        <f t="shared" si="0"/>
        <v>0</v>
      </c>
      <c r="D15" s="321" t="str">
        <f t="shared" si="8"/>
        <v>Pendiente</v>
      </c>
      <c r="E15" s="356">
        <f t="shared" si="9"/>
        <v>4.5</v>
      </c>
      <c r="F15" s="14">
        <v>4.5</v>
      </c>
      <c r="G15" s="36" t="s">
        <v>151</v>
      </c>
      <c r="H15" s="16">
        <f t="shared" si="1"/>
        <v>0</v>
      </c>
      <c r="I15" s="72" t="str">
        <f t="shared" si="2"/>
        <v>Pendiente</v>
      </c>
      <c r="J15" s="357">
        <f t="shared" si="3"/>
        <v>4.5</v>
      </c>
      <c r="K15" s="22">
        <v>6</v>
      </c>
      <c r="L15" s="76" t="s">
        <v>195</v>
      </c>
      <c r="M15" s="24">
        <f t="shared" si="4"/>
        <v>0</v>
      </c>
      <c r="N15" s="75" t="str">
        <f t="shared" si="5"/>
        <v>Pendiente</v>
      </c>
      <c r="O15" s="357">
        <f t="shared" si="6"/>
        <v>6</v>
      </c>
      <c r="P15" s="19"/>
      <c r="Q15" s="77" t="s">
        <v>214</v>
      </c>
      <c r="R15" s="21"/>
      <c r="S15" s="78">
        <f aca="true" t="shared" si="10" ref="S11:S19">IF($D$65=1,S55,"")</f>
        <v>0</v>
      </c>
    </row>
    <row r="16" spans="1:19" s="7" customFormat="1" ht="15.75" thickBot="1">
      <c r="A16" s="19">
        <v>7.5</v>
      </c>
      <c r="B16" s="20" t="s">
        <v>5</v>
      </c>
      <c r="C16" s="21">
        <f t="shared" si="0"/>
        <v>0</v>
      </c>
      <c r="D16" s="78" t="str">
        <f t="shared" si="8"/>
        <v>Pendiente</v>
      </c>
      <c r="E16" s="356">
        <f t="shared" si="9"/>
        <v>7.5</v>
      </c>
      <c r="F16" s="22">
        <v>4.5</v>
      </c>
      <c r="G16" s="23" t="s">
        <v>152</v>
      </c>
      <c r="H16" s="24">
        <f t="shared" si="1"/>
        <v>0</v>
      </c>
      <c r="I16" s="75" t="str">
        <f t="shared" si="2"/>
        <v>Pendiente</v>
      </c>
      <c r="J16" s="357">
        <f t="shared" si="3"/>
        <v>4.5</v>
      </c>
      <c r="K16" s="19">
        <v>4.5</v>
      </c>
      <c r="L16" s="79" t="s">
        <v>223</v>
      </c>
      <c r="M16" s="21">
        <f t="shared" si="4"/>
        <v>0</v>
      </c>
      <c r="N16" s="78" t="str">
        <f t="shared" si="5"/>
        <v>Pendiente</v>
      </c>
      <c r="O16" s="357">
        <f t="shared" si="6"/>
        <v>4.5</v>
      </c>
      <c r="P16" s="322" t="s">
        <v>236</v>
      </c>
      <c r="Q16" s="73" t="s">
        <v>215</v>
      </c>
      <c r="R16" s="16"/>
      <c r="S16" s="72">
        <f t="shared" si="10"/>
        <v>0</v>
      </c>
    </row>
    <row r="17" spans="1:19" s="7" customFormat="1" ht="15">
      <c r="A17" s="14">
        <v>6</v>
      </c>
      <c r="B17" s="15" t="s">
        <v>8</v>
      </c>
      <c r="C17" s="16">
        <f t="shared" si="0"/>
        <v>0</v>
      </c>
      <c r="D17" s="72" t="str">
        <f t="shared" si="8"/>
        <v>Pendiente</v>
      </c>
      <c r="E17" s="356">
        <f t="shared" si="9"/>
        <v>6</v>
      </c>
      <c r="F17" s="19">
        <v>4.5</v>
      </c>
      <c r="G17" s="37" t="s">
        <v>156</v>
      </c>
      <c r="H17" s="21">
        <f t="shared" si="1"/>
        <v>0</v>
      </c>
      <c r="I17" s="78" t="str">
        <f t="shared" si="2"/>
        <v>Pendiente</v>
      </c>
      <c r="J17" s="357">
        <f t="shared" si="3"/>
        <v>4.5</v>
      </c>
      <c r="K17" s="14">
        <v>4.5</v>
      </c>
      <c r="L17" s="35" t="s">
        <v>189</v>
      </c>
      <c r="M17" s="16">
        <f t="shared" si="4"/>
        <v>0</v>
      </c>
      <c r="N17" s="72" t="str">
        <f t="shared" si="5"/>
        <v>Pendiente</v>
      </c>
      <c r="O17" s="357">
        <f t="shared" si="6"/>
        <v>4.5</v>
      </c>
      <c r="P17" s="322" t="s">
        <v>237</v>
      </c>
      <c r="Q17" s="73" t="s">
        <v>221</v>
      </c>
      <c r="R17" s="16"/>
      <c r="S17" s="72">
        <f t="shared" si="10"/>
        <v>0</v>
      </c>
    </row>
    <row r="18" spans="1:19" s="7" customFormat="1" ht="15.75" thickBot="1">
      <c r="A18" s="14">
        <v>6</v>
      </c>
      <c r="B18" s="15" t="s">
        <v>147</v>
      </c>
      <c r="C18" s="16">
        <f t="shared" si="0"/>
        <v>0</v>
      </c>
      <c r="D18" s="72" t="str">
        <f t="shared" si="8"/>
        <v>Pendiente</v>
      </c>
      <c r="E18" s="356">
        <f t="shared" si="9"/>
        <v>6</v>
      </c>
      <c r="F18" s="14">
        <v>4.5</v>
      </c>
      <c r="G18" s="36" t="s">
        <v>157</v>
      </c>
      <c r="H18" s="16">
        <f t="shared" si="1"/>
        <v>0</v>
      </c>
      <c r="I18" s="72" t="str">
        <f t="shared" si="2"/>
        <v>Pendiente</v>
      </c>
      <c r="J18" s="357">
        <f t="shared" si="3"/>
        <v>4.5</v>
      </c>
      <c r="K18" s="22">
        <v>4.5</v>
      </c>
      <c r="L18" s="76" t="s">
        <v>224</v>
      </c>
      <c r="M18" s="24">
        <f t="shared" si="4"/>
        <v>0</v>
      </c>
      <c r="N18" s="75" t="str">
        <f t="shared" si="5"/>
        <v>Pendiente</v>
      </c>
      <c r="O18" s="357">
        <f t="shared" si="6"/>
        <v>4.5</v>
      </c>
      <c r="P18" s="14"/>
      <c r="Q18" s="73" t="s">
        <v>239</v>
      </c>
      <c r="R18" s="16"/>
      <c r="S18" s="72">
        <f t="shared" si="10"/>
        <v>0</v>
      </c>
    </row>
    <row r="19" spans="1:19" s="7" customFormat="1" ht="15.75" thickBot="1">
      <c r="A19" s="14">
        <v>6</v>
      </c>
      <c r="B19" s="15" t="s">
        <v>159</v>
      </c>
      <c r="C19" s="16">
        <f t="shared" si="0"/>
        <v>0</v>
      </c>
      <c r="D19" s="72" t="str">
        <f t="shared" si="8"/>
        <v>Pendiente</v>
      </c>
      <c r="E19" s="356">
        <f t="shared" si="9"/>
        <v>6</v>
      </c>
      <c r="F19" s="14">
        <v>6</v>
      </c>
      <c r="G19" s="36" t="s">
        <v>155</v>
      </c>
      <c r="H19" s="16">
        <f t="shared" si="1"/>
        <v>0</v>
      </c>
      <c r="I19" s="72" t="str">
        <f t="shared" si="2"/>
        <v>Pendiente</v>
      </c>
      <c r="J19" s="357">
        <f t="shared" si="3"/>
        <v>6</v>
      </c>
      <c r="K19" s="25">
        <f>SUM(K11:K18)</f>
        <v>42</v>
      </c>
      <c r="L19" s="323" t="str">
        <f>IF(N19&gt;K19,"ERROR","")</f>
        <v/>
      </c>
      <c r="M19" s="27"/>
      <c r="N19" s="63">
        <f>SUM(M11:M18)</f>
        <v>0</v>
      </c>
      <c r="O19" s="54"/>
      <c r="P19" s="22"/>
      <c r="Q19" s="74" t="s">
        <v>238</v>
      </c>
      <c r="R19" s="24"/>
      <c r="S19" s="75">
        <f t="shared" si="10"/>
        <v>0</v>
      </c>
    </row>
    <row r="20" spans="1:20" s="7" customFormat="1" ht="15.75" thickBot="1">
      <c r="A20" s="22">
        <v>4.5</v>
      </c>
      <c r="B20" s="23" t="s">
        <v>162</v>
      </c>
      <c r="C20" s="24">
        <f t="shared" si="0"/>
        <v>0</v>
      </c>
      <c r="D20" s="75" t="str">
        <f t="shared" si="8"/>
        <v>Pendiente</v>
      </c>
      <c r="E20" s="356">
        <f t="shared" si="9"/>
        <v>4.5</v>
      </c>
      <c r="F20" s="14">
        <v>6</v>
      </c>
      <c r="G20" s="36" t="s">
        <v>154</v>
      </c>
      <c r="H20" s="16">
        <f t="shared" si="1"/>
        <v>0</v>
      </c>
      <c r="I20" s="72" t="str">
        <f t="shared" si="2"/>
        <v>Pendiente</v>
      </c>
      <c r="J20" s="357">
        <f t="shared" si="3"/>
        <v>6</v>
      </c>
      <c r="L20" s="358" t="s">
        <v>245</v>
      </c>
      <c r="M20" s="54" t="s">
        <v>268</v>
      </c>
      <c r="N20" s="357">
        <f>SUM(O11:O15)</f>
        <v>28.5</v>
      </c>
      <c r="P20" s="25">
        <v>18</v>
      </c>
      <c r="Q20" s="323"/>
      <c r="R20" s="27"/>
      <c r="S20" s="63">
        <f>IF($D$65=1,N66,0)</f>
        <v>0</v>
      </c>
      <c r="T20" s="55"/>
    </row>
    <row r="21" spans="1:19" s="7" customFormat="1" ht="15.75" thickBot="1">
      <c r="A21" s="25">
        <f>SUM(A11:A20)</f>
        <v>60</v>
      </c>
      <c r="B21" s="323" t="str">
        <f>IF(D21&gt;A21,"ERROR","")</f>
        <v/>
      </c>
      <c r="C21" s="27"/>
      <c r="D21" s="324">
        <f>SUM(C11:C20)</f>
        <v>0</v>
      </c>
      <c r="E21" s="52"/>
      <c r="F21" s="14">
        <v>4.5</v>
      </c>
      <c r="G21" s="36" t="s">
        <v>153</v>
      </c>
      <c r="H21" s="16">
        <f t="shared" si="1"/>
        <v>0</v>
      </c>
      <c r="I21" s="72" t="str">
        <f t="shared" si="2"/>
        <v>Pendiente</v>
      </c>
      <c r="J21" s="357">
        <f t="shared" si="3"/>
        <v>4.5</v>
      </c>
      <c r="L21" s="358" t="s">
        <v>245</v>
      </c>
      <c r="M21" s="54" t="s">
        <v>269</v>
      </c>
      <c r="N21" s="357">
        <f>SUM(O16:O18)</f>
        <v>13.5</v>
      </c>
      <c r="P21" s="45"/>
      <c r="Q21" s="358" t="s">
        <v>245</v>
      </c>
      <c r="R21" s="359"/>
      <c r="S21" s="360">
        <f>S61</f>
        <v>18</v>
      </c>
    </row>
    <row r="22" spans="2:22" s="7" customFormat="1" ht="15.75" thickBot="1">
      <c r="B22" s="358" t="s">
        <v>245</v>
      </c>
      <c r="C22" s="54" t="s">
        <v>268</v>
      </c>
      <c r="D22" s="357">
        <f>SUM(E11:E15)</f>
        <v>30</v>
      </c>
      <c r="E22" s="45"/>
      <c r="F22" s="22">
        <v>4.5</v>
      </c>
      <c r="G22" s="23" t="s">
        <v>25</v>
      </c>
      <c r="H22" s="24">
        <f t="shared" si="1"/>
        <v>0</v>
      </c>
      <c r="I22" s="75" t="str">
        <f t="shared" si="2"/>
        <v>Pendiente</v>
      </c>
      <c r="J22" s="357">
        <f t="shared" si="3"/>
        <v>4.5</v>
      </c>
      <c r="P22" s="45"/>
      <c r="Q22" s="325"/>
      <c r="R22" s="45"/>
      <c r="S22" s="45"/>
      <c r="U22" s="357">
        <f>COUNTIF(D34:D36,"WARNING")+COUNTIF(N14,"WARNING")+COUNTIF(S11:S14,"WARNING")</f>
        <v>0</v>
      </c>
      <c r="V22" s="54" t="s">
        <v>261</v>
      </c>
    </row>
    <row r="23" spans="2:22" s="7" customFormat="1" ht="15.75" thickBot="1">
      <c r="B23" s="358" t="s">
        <v>245</v>
      </c>
      <c r="C23" s="54" t="s">
        <v>269</v>
      </c>
      <c r="D23" s="357">
        <f>SUM(E16:E20)</f>
        <v>30</v>
      </c>
      <c r="E23" s="33"/>
      <c r="F23" s="25">
        <f>SUM(F11:F22)</f>
        <v>60</v>
      </c>
      <c r="G23" s="323" t="str">
        <f>IF(I23&gt;F23,"ERROR","")</f>
        <v/>
      </c>
      <c r="I23" s="63">
        <f>SUM(H11:H22)</f>
        <v>0</v>
      </c>
      <c r="K23" s="326" t="str">
        <f>IF(D65=0,"Debe confirmar la simulación en la hoja de Introducción de datos",IF(U23=0,"La adaptación no presenta singularidades. Se realizará automáticamente",IF(U23=1,"Adaptación con singularidad de tipo 1. Se realizará automáticamente",IF(U23=2,"Podría ser interesante una adaptación singular de tipo 2","Será necesario una adaptación singular del tipo 3"))))</f>
        <v>La adaptación no presenta singularidades. Se realizará automáticamente</v>
      </c>
      <c r="L23" s="327"/>
      <c r="M23" s="327"/>
      <c r="N23" s="327"/>
      <c r="O23" s="327"/>
      <c r="P23" s="327"/>
      <c r="Q23" s="327"/>
      <c r="R23" s="327"/>
      <c r="S23" s="328"/>
      <c r="U23" s="357">
        <f>IF(S21&lt;0,3,IF(S19&gt;0,IF(S20&gt;13.5,2,1),0))</f>
        <v>0</v>
      </c>
      <c r="V23" s="54" t="s">
        <v>262</v>
      </c>
    </row>
    <row r="24" spans="2:19" s="7" customFormat="1" ht="15">
      <c r="B24" s="54"/>
      <c r="C24" s="54"/>
      <c r="D24" s="54"/>
      <c r="E24" s="320"/>
      <c r="F24" s="320"/>
      <c r="G24" s="358" t="s">
        <v>245</v>
      </c>
      <c r="H24" s="54" t="s">
        <v>268</v>
      </c>
      <c r="I24" s="356">
        <f>SUM(J11:J16)</f>
        <v>30</v>
      </c>
      <c r="K24" s="329"/>
      <c r="L24" s="330"/>
      <c r="M24" s="330"/>
      <c r="N24" s="330"/>
      <c r="O24" s="330"/>
      <c r="P24" s="330"/>
      <c r="Q24" s="330"/>
      <c r="R24" s="330"/>
      <c r="S24" s="331"/>
    </row>
    <row r="25" spans="2:19" s="7" customFormat="1" ht="15.75" thickBot="1">
      <c r="B25" s="54"/>
      <c r="C25" s="54"/>
      <c r="D25" s="54"/>
      <c r="E25" s="320"/>
      <c r="F25" s="320"/>
      <c r="G25" s="358" t="s">
        <v>245</v>
      </c>
      <c r="H25" s="54" t="s">
        <v>269</v>
      </c>
      <c r="I25" s="356">
        <f>SUM(J17:J22)</f>
        <v>30</v>
      </c>
      <c r="K25" s="332"/>
      <c r="L25" s="333"/>
      <c r="M25" s="333"/>
      <c r="N25" s="333"/>
      <c r="O25" s="333"/>
      <c r="P25" s="333"/>
      <c r="Q25" s="333"/>
      <c r="R25" s="333"/>
      <c r="S25" s="334"/>
    </row>
    <row r="26" spans="2:19" s="7" customFormat="1" ht="15">
      <c r="B26" s="358" t="s">
        <v>245</v>
      </c>
      <c r="C26" s="54" t="s">
        <v>268</v>
      </c>
      <c r="D26" s="357">
        <f>SUM(E34:E39)</f>
        <v>0</v>
      </c>
      <c r="E26" s="320"/>
      <c r="F26" s="320"/>
      <c r="G26" s="358" t="s">
        <v>245</v>
      </c>
      <c r="H26" s="54" t="s">
        <v>268</v>
      </c>
      <c r="I26" s="356">
        <f>SUM(J33:J38)</f>
        <v>0</v>
      </c>
      <c r="L26" s="358" t="s">
        <v>245</v>
      </c>
      <c r="M26" s="54" t="s">
        <v>268</v>
      </c>
      <c r="N26" s="357">
        <f>SUM(O34:O39)</f>
        <v>0</v>
      </c>
      <c r="O26" s="54"/>
      <c r="P26" s="54"/>
      <c r="Q26" s="358" t="s">
        <v>245</v>
      </c>
      <c r="R26" s="54" t="s">
        <v>268</v>
      </c>
      <c r="S26" s="356">
        <f>SUM(T33:T38)</f>
        <v>0</v>
      </c>
    </row>
    <row r="27" spans="2:19" s="7" customFormat="1" ht="15.75" thickBot="1">
      <c r="B27" s="358" t="s">
        <v>245</v>
      </c>
      <c r="C27" s="54" t="s">
        <v>269</v>
      </c>
      <c r="D27" s="357">
        <f>SUM(E30:E33)</f>
        <v>0</v>
      </c>
      <c r="E27" s="320"/>
      <c r="F27" s="320"/>
      <c r="G27" s="358" t="s">
        <v>245</v>
      </c>
      <c r="H27" s="54" t="s">
        <v>269</v>
      </c>
      <c r="I27" s="356">
        <f>SUM(J30:J32)</f>
        <v>0</v>
      </c>
      <c r="L27" s="358" t="s">
        <v>245</v>
      </c>
      <c r="M27" s="54" t="s">
        <v>269</v>
      </c>
      <c r="N27" s="357">
        <f>SUM(O30:O33)</f>
        <v>0</v>
      </c>
      <c r="O27" s="54"/>
      <c r="P27" s="54"/>
      <c r="Q27" s="358" t="s">
        <v>245</v>
      </c>
      <c r="R27" s="54" t="s">
        <v>269</v>
      </c>
      <c r="S27" s="356">
        <f>SUM(T30:T32)</f>
        <v>0</v>
      </c>
    </row>
    <row r="28" spans="1:19" s="7" customFormat="1" ht="15">
      <c r="A28" s="8"/>
      <c r="B28" s="9" t="s">
        <v>170</v>
      </c>
      <c r="C28" s="10"/>
      <c r="D28" s="62"/>
      <c r="E28" s="26"/>
      <c r="F28" s="8"/>
      <c r="G28" s="9" t="s">
        <v>252</v>
      </c>
      <c r="H28" s="10"/>
      <c r="I28" s="62"/>
      <c r="K28" s="8"/>
      <c r="L28" s="9" t="s">
        <v>191</v>
      </c>
      <c r="M28" s="10"/>
      <c r="N28" s="62"/>
      <c r="P28" s="8"/>
      <c r="Q28" s="9" t="s">
        <v>253</v>
      </c>
      <c r="R28" s="10"/>
      <c r="S28" s="62"/>
    </row>
    <row r="29" spans="1:19" s="7" customFormat="1" ht="15">
      <c r="A29" s="11" t="s">
        <v>2</v>
      </c>
      <c r="B29" s="12" t="s">
        <v>231</v>
      </c>
      <c r="C29" s="13"/>
      <c r="D29" s="66" t="s">
        <v>222</v>
      </c>
      <c r="E29" s="26"/>
      <c r="F29" s="11" t="s">
        <v>2</v>
      </c>
      <c r="G29" s="12" t="s">
        <v>231</v>
      </c>
      <c r="H29" s="13"/>
      <c r="I29" s="66" t="s">
        <v>222</v>
      </c>
      <c r="K29" s="11" t="s">
        <v>2</v>
      </c>
      <c r="L29" s="12" t="s">
        <v>231</v>
      </c>
      <c r="M29" s="13"/>
      <c r="N29" s="66" t="s">
        <v>222</v>
      </c>
      <c r="P29" s="11" t="s">
        <v>2</v>
      </c>
      <c r="Q29" s="12" t="s">
        <v>231</v>
      </c>
      <c r="R29" s="13"/>
      <c r="S29" s="66" t="s">
        <v>222</v>
      </c>
    </row>
    <row r="30" spans="1:20" s="7" customFormat="1" ht="15">
      <c r="A30" s="14">
        <v>4.5</v>
      </c>
      <c r="B30" s="28" t="s">
        <v>173</v>
      </c>
      <c r="C30" s="16">
        <f aca="true" t="shared" si="11" ref="C30:C39">IF(D30="Reconocida",A30,0)</f>
        <v>0</v>
      </c>
      <c r="D30" s="72" t="str">
        <f>IF(AND($D$65=1,$M$64=1),D71,IF(D71="Pendiente",IF($D$66=0,"Mención ?","n/a"),"Rec-Opt"))</f>
        <v>Mención ?</v>
      </c>
      <c r="E30" s="361">
        <f aca="true" t="shared" si="12" ref="E30:E39">IF(D30="Pendiente",A30,0)</f>
        <v>0</v>
      </c>
      <c r="F30" s="14">
        <v>6</v>
      </c>
      <c r="G30" s="38" t="s">
        <v>183</v>
      </c>
      <c r="H30" s="16">
        <f aca="true" t="shared" si="13" ref="H30:H38">IF(I30="Reconocida",F30,0)</f>
        <v>0</v>
      </c>
      <c r="I30" s="72" t="str">
        <f>IF(AND($D$65=1,$M$64=2),I71,IF(I71="Pendiente",IF($D$66=0,"Mención ?","n/a"),"Rec-Opt"))</f>
        <v>Mención ?</v>
      </c>
      <c r="J30" s="357">
        <f aca="true" t="shared" si="14" ref="J30:J38">IF(I30="Pendiente",F30,0)</f>
        <v>0</v>
      </c>
      <c r="K30" s="14">
        <v>4.5</v>
      </c>
      <c r="L30" s="49" t="s">
        <v>93</v>
      </c>
      <c r="M30" s="16">
        <f aca="true" t="shared" si="15" ref="M30:M39">IF(N30="Reconocida",K30,0)</f>
        <v>0</v>
      </c>
      <c r="N30" s="72" t="str">
        <f>IF(AND($D$65=1,$M$64=3),N71,IF(N71="Pendiente",IF($D$66=0,"Mención ?","n/a"),"Rec-Opt"))</f>
        <v>Mención ?</v>
      </c>
      <c r="O30" s="357">
        <f aca="true" t="shared" si="16" ref="O30:O39">IF(N30="Pendiente",K30,0)</f>
        <v>0</v>
      </c>
      <c r="P30" s="14">
        <v>6</v>
      </c>
      <c r="Q30" s="58" t="s">
        <v>209</v>
      </c>
      <c r="R30" s="16">
        <f aca="true" t="shared" si="17" ref="R30:R38">IF(S30="Reconocida",P30,0)</f>
        <v>0</v>
      </c>
      <c r="S30" s="72" t="str">
        <f>IF(AND($D$65=1,$M$64=4),S71,IF(S71="Pendiente",IF($D$66=0,"Mención ?","n/a"),"Rec-Opt"))</f>
        <v>Mención ?</v>
      </c>
      <c r="T30" s="357">
        <f aca="true" t="shared" si="18" ref="T30:T38">IF(S30="Pendiente",P30,0)</f>
        <v>0</v>
      </c>
    </row>
    <row r="31" spans="1:20" s="7" customFormat="1" ht="15">
      <c r="A31" s="14">
        <v>4.5</v>
      </c>
      <c r="B31" s="28" t="s">
        <v>174</v>
      </c>
      <c r="C31" s="16">
        <f t="shared" si="11"/>
        <v>0</v>
      </c>
      <c r="D31" s="72" t="str">
        <f>IF(AND($D$65=1,$M$64=1),D72,IF(D72="Pendiente",IF($D$66=0,"Mención ?","n/a"),"Rec-Opt"))</f>
        <v>Mención ?</v>
      </c>
      <c r="E31" s="361">
        <f t="shared" si="12"/>
        <v>0</v>
      </c>
      <c r="F31" s="14">
        <v>6</v>
      </c>
      <c r="G31" s="38" t="s">
        <v>184</v>
      </c>
      <c r="H31" s="16">
        <f t="shared" si="13"/>
        <v>0</v>
      </c>
      <c r="I31" s="72" t="str">
        <f>IF(AND($D$65=1,$M$64=2),I72,IF(I72="Pendiente",IF($D$66=0,"Mención ?","n/a"),"Rec-Opt"))</f>
        <v>Mención ?</v>
      </c>
      <c r="J31" s="357">
        <f t="shared" si="14"/>
        <v>0</v>
      </c>
      <c r="K31" s="14">
        <v>4.5</v>
      </c>
      <c r="L31" s="49" t="s">
        <v>92</v>
      </c>
      <c r="M31" s="16">
        <f t="shared" si="15"/>
        <v>0</v>
      </c>
      <c r="N31" s="72" t="str">
        <f>IF(AND($D$65=1,$M$64=3),N72,IF(N72="Pendiente",IF($D$66=0,"Mención ?","n/a"),"Rec-Opt"))</f>
        <v>Mención ?</v>
      </c>
      <c r="O31" s="357">
        <f t="shared" si="16"/>
        <v>0</v>
      </c>
      <c r="P31" s="14">
        <v>6</v>
      </c>
      <c r="Q31" s="58" t="s">
        <v>204</v>
      </c>
      <c r="R31" s="16">
        <f t="shared" si="17"/>
        <v>0</v>
      </c>
      <c r="S31" s="72" t="str">
        <f>IF(AND($D$65=1,$M$64=4),S72,IF(S72="Pendiente",IF($D$66=0,"Mención ?","n/a"),"Rec-Opt"))</f>
        <v>Mención ?</v>
      </c>
      <c r="T31" s="357">
        <f t="shared" si="18"/>
        <v>0</v>
      </c>
    </row>
    <row r="32" spans="1:20" s="7" customFormat="1" ht="15.75" thickBot="1">
      <c r="A32" s="14">
        <v>4.5</v>
      </c>
      <c r="B32" s="28" t="s">
        <v>227</v>
      </c>
      <c r="C32" s="16">
        <f t="shared" si="11"/>
        <v>0</v>
      </c>
      <c r="D32" s="72" t="str">
        <f>IF(AND($D$65=1,$M$64=1),D73,IF(D73="Pendiente",IF($D$66=0,"Mención ?","n/a"),"Rec-Opt"))</f>
        <v>Mención ?</v>
      </c>
      <c r="E32" s="361">
        <f t="shared" si="12"/>
        <v>0</v>
      </c>
      <c r="F32" s="22">
        <v>6</v>
      </c>
      <c r="G32" s="39" t="s">
        <v>185</v>
      </c>
      <c r="H32" s="24">
        <f t="shared" si="13"/>
        <v>0</v>
      </c>
      <c r="I32" s="75" t="str">
        <f>IF(AND($D$65=1,$M$64=2),I73,IF(I73="Pendiente",IF($D$66=0,"Mención ?","n/a"),"Rec-Opt"))</f>
        <v>Mención ?</v>
      </c>
      <c r="J32" s="357">
        <f t="shared" si="14"/>
        <v>0</v>
      </c>
      <c r="K32" s="14">
        <v>4.5</v>
      </c>
      <c r="L32" s="49" t="s">
        <v>192</v>
      </c>
      <c r="M32" s="16">
        <f t="shared" si="15"/>
        <v>0</v>
      </c>
      <c r="N32" s="72" t="str">
        <f>IF(AND($D$65=1,$M$64=3),N73,IF(N73="Pendiente",IF($D$66=0,"Mención ?","n/a"),"Rec-Opt"))</f>
        <v>Mención ?</v>
      </c>
      <c r="O32" s="357">
        <f t="shared" si="16"/>
        <v>0</v>
      </c>
      <c r="P32" s="22">
        <v>6</v>
      </c>
      <c r="Q32" s="58" t="s">
        <v>205</v>
      </c>
      <c r="R32" s="335">
        <f t="shared" si="17"/>
        <v>0</v>
      </c>
      <c r="S32" s="75" t="str">
        <f>IF(AND($D$65=1,$M$64=4),S73,IF(S73="Pendiente",IF($D$66=0,"Mención ?","n/a"),"Rec-Opt"))</f>
        <v>Mención ?</v>
      </c>
      <c r="T32" s="357">
        <f t="shared" si="18"/>
        <v>0</v>
      </c>
    </row>
    <row r="33" spans="1:20" s="7" customFormat="1" ht="15.75" thickBot="1">
      <c r="A33" s="22">
        <v>4.5</v>
      </c>
      <c r="B33" s="29" t="s">
        <v>176</v>
      </c>
      <c r="C33" s="335">
        <f t="shared" si="11"/>
        <v>0</v>
      </c>
      <c r="D33" s="75" t="str">
        <f>IF(AND($D$65=1,$M$64=1),D74,IF(D74="Pendiente",IF($D$66=0,"Mención ?","n/a"),"Rec-Opt"))</f>
        <v>Mención ?</v>
      </c>
      <c r="E33" s="361">
        <f t="shared" si="12"/>
        <v>0</v>
      </c>
      <c r="F33" s="19">
        <v>4.5</v>
      </c>
      <c r="G33" s="41" t="s">
        <v>81</v>
      </c>
      <c r="H33" s="336">
        <f t="shared" si="13"/>
        <v>0</v>
      </c>
      <c r="I33" s="78" t="str">
        <f>IF(AND($D$65=1,$M$64=2),I74,IF(I74="Pendiente",IF($D$66=0,"Mención ?","n/a"),"Rec-Opt"))</f>
        <v>Mención ?</v>
      </c>
      <c r="J33" s="357">
        <f t="shared" si="14"/>
        <v>0</v>
      </c>
      <c r="K33" s="22">
        <v>4.5</v>
      </c>
      <c r="L33" s="50" t="s">
        <v>194</v>
      </c>
      <c r="M33" s="335">
        <f t="shared" si="15"/>
        <v>0</v>
      </c>
      <c r="N33" s="75" t="str">
        <f>IF(AND($D$65=1,$M$64=3),N74,IF(N74="Pendiente",IF($D$66=0,"Mención ?","n/a"),"Rec-Opt"))</f>
        <v>Mención ?</v>
      </c>
      <c r="O33" s="357">
        <f t="shared" si="16"/>
        <v>0</v>
      </c>
      <c r="P33" s="19">
        <v>4.5</v>
      </c>
      <c r="Q33" s="60" t="s">
        <v>206</v>
      </c>
      <c r="R33" s="21">
        <f t="shared" si="17"/>
        <v>0</v>
      </c>
      <c r="S33" s="78" t="str">
        <f>IF(AND($D$65=1,$M$64=4),S74,IF(S74="Pendiente",IF($D$66=0,"Mención ?","n/a"),"Rec-Opt"))</f>
        <v>Mención ?</v>
      </c>
      <c r="T33" s="357">
        <f t="shared" si="18"/>
        <v>0</v>
      </c>
    </row>
    <row r="34" spans="1:20" s="7" customFormat="1" ht="15">
      <c r="A34" s="19">
        <v>6</v>
      </c>
      <c r="B34" s="30" t="s">
        <v>63</v>
      </c>
      <c r="C34" s="21">
        <f t="shared" si="11"/>
        <v>0</v>
      </c>
      <c r="D34" s="78" t="str">
        <f>IF(AND($D$65=1,$M$64=1),D75,IF(D75="Pendiente",IF($D$66=0,"Mención ?","n/a"),"Rec-Opt"))</f>
        <v>Mención ?</v>
      </c>
      <c r="E34" s="361">
        <f t="shared" si="12"/>
        <v>0</v>
      </c>
      <c r="F34" s="14">
        <v>4.5</v>
      </c>
      <c r="G34" s="38" t="s">
        <v>186</v>
      </c>
      <c r="H34" s="16">
        <f t="shared" si="13"/>
        <v>0</v>
      </c>
      <c r="I34" s="72" t="str">
        <f>IF(AND($D$65=1,$M$64=2),I75,IF(I75="Pendiente",IF($D$66=0,"Mención ?","n/a"),"Rec-Opt"))</f>
        <v>Mención ?</v>
      </c>
      <c r="J34" s="357">
        <f t="shared" si="14"/>
        <v>0</v>
      </c>
      <c r="K34" s="19">
        <v>6</v>
      </c>
      <c r="L34" s="51" t="s">
        <v>193</v>
      </c>
      <c r="M34" s="21">
        <f t="shared" si="15"/>
        <v>0</v>
      </c>
      <c r="N34" s="78" t="str">
        <f>IF(AND($D$65=1,$M$64=3),N75,IF(N75="Pendiente",IF($D$66=0,"Mención ?","n/a"),"Rec-Opt"))</f>
        <v>Mención ?</v>
      </c>
      <c r="O34" s="357">
        <f t="shared" si="16"/>
        <v>0</v>
      </c>
      <c r="P34" s="14">
        <v>6</v>
      </c>
      <c r="Q34" s="58" t="s">
        <v>202</v>
      </c>
      <c r="R34" s="16">
        <f t="shared" si="17"/>
        <v>0</v>
      </c>
      <c r="S34" s="72" t="str">
        <f>IF(AND($D$65=1,$M$64=4),S75,IF(S75="Pendiente",IF($D$66=0,"Mención ?","n/a"),"Rec-Opt"))</f>
        <v>Mención ?</v>
      </c>
      <c r="T34" s="357">
        <f t="shared" si="18"/>
        <v>0</v>
      </c>
    </row>
    <row r="35" spans="1:20" s="7" customFormat="1" ht="15">
      <c r="A35" s="14">
        <v>4.5</v>
      </c>
      <c r="B35" s="28" t="s">
        <v>177</v>
      </c>
      <c r="C35" s="16">
        <f t="shared" si="11"/>
        <v>0</v>
      </c>
      <c r="D35" s="72" t="str">
        <f>IF(AND($D$65=1,$M$64=1),D76,IF(D76="Pendiente",IF($D$66=0,"Mención ?","n/a"),"Rec-Opt"))</f>
        <v>Mención ?</v>
      </c>
      <c r="E35" s="361">
        <f t="shared" si="12"/>
        <v>0</v>
      </c>
      <c r="F35" s="14">
        <v>6</v>
      </c>
      <c r="G35" s="38" t="s">
        <v>187</v>
      </c>
      <c r="H35" s="16">
        <f t="shared" si="13"/>
        <v>0</v>
      </c>
      <c r="I35" s="72" t="str">
        <f>IF(AND($D$65=1,$M$64=2),I76,IF(I76="Pendiente",IF($D$66=0,"Mención ?","n/a"),"Rec-Opt"))</f>
        <v>Mención ?</v>
      </c>
      <c r="J35" s="357">
        <f t="shared" si="14"/>
        <v>0</v>
      </c>
      <c r="K35" s="14">
        <v>6</v>
      </c>
      <c r="L35" s="49" t="s">
        <v>196</v>
      </c>
      <c r="M35" s="16">
        <f t="shared" si="15"/>
        <v>0</v>
      </c>
      <c r="N35" s="72" t="str">
        <f>IF(AND($D$65=1,$M$64=3),N76,IF(N76="Pendiente",IF($D$66=0,"Mención ?","n/a"),"Rec-Opt"))</f>
        <v>Mención ?</v>
      </c>
      <c r="O35" s="357">
        <f t="shared" si="16"/>
        <v>0</v>
      </c>
      <c r="P35" s="14">
        <v>4.5</v>
      </c>
      <c r="Q35" s="58" t="s">
        <v>208</v>
      </c>
      <c r="R35" s="16">
        <f t="shared" si="17"/>
        <v>0</v>
      </c>
      <c r="S35" s="72" t="str">
        <f>IF(AND($D$65=1,$M$64=4),S76,IF(S76="Pendiente",IF($D$66=0,"Mención ?","n/a"),"Rec-Opt"))</f>
        <v>Mención ?</v>
      </c>
      <c r="T35" s="357">
        <f t="shared" si="18"/>
        <v>0</v>
      </c>
    </row>
    <row r="36" spans="1:20" s="7" customFormat="1" ht="15">
      <c r="A36" s="14">
        <v>6</v>
      </c>
      <c r="B36" s="28" t="s">
        <v>178</v>
      </c>
      <c r="C36" s="16">
        <f t="shared" si="11"/>
        <v>0</v>
      </c>
      <c r="D36" s="72" t="str">
        <f>IF(AND($D$65=1,$M$64=1),D77,IF(D77="Pendiente",IF($D$66=0,"Mención ?","n/a"),"Rec-Opt"))</f>
        <v>Mención ?</v>
      </c>
      <c r="E36" s="361">
        <f t="shared" si="12"/>
        <v>0</v>
      </c>
      <c r="F36" s="14">
        <v>4.5</v>
      </c>
      <c r="G36" s="38" t="s">
        <v>188</v>
      </c>
      <c r="H36" s="16">
        <f t="shared" si="13"/>
        <v>0</v>
      </c>
      <c r="I36" s="72" t="str">
        <f>IF(AND($D$65=1,$M$64=2),I77,IF(I77="Pendiente",IF($D$66=0,"Mención ?","n/a"),"Rec-Opt"))</f>
        <v>Mención ?</v>
      </c>
      <c r="J36" s="357">
        <f t="shared" si="14"/>
        <v>0</v>
      </c>
      <c r="K36" s="14">
        <v>4.5</v>
      </c>
      <c r="L36" s="49" t="s">
        <v>197</v>
      </c>
      <c r="M36" s="16">
        <f t="shared" si="15"/>
        <v>0</v>
      </c>
      <c r="N36" s="72" t="str">
        <f>IF(AND($D$65=1,$M$64=3),N77,IF(N77="Pendiente",IF($D$66=0,"Mención ?","n/a"),"Rec-Opt"))</f>
        <v>Mención ?</v>
      </c>
      <c r="O36" s="357">
        <f t="shared" si="16"/>
        <v>0</v>
      </c>
      <c r="P36" s="14">
        <v>6</v>
      </c>
      <c r="Q36" s="58" t="s">
        <v>210</v>
      </c>
      <c r="R36" s="16">
        <f t="shared" si="17"/>
        <v>0</v>
      </c>
      <c r="S36" s="72" t="str">
        <f>IF(AND($D$65=1,$M$64=4),S77,IF(S77="Pendiente",IF($D$66=0,"Mención ?","n/a"),"Rec-Opt"))</f>
        <v>Mención ?</v>
      </c>
      <c r="T36" s="357">
        <f t="shared" si="18"/>
        <v>0</v>
      </c>
    </row>
    <row r="37" spans="1:20" s="7" customFormat="1" ht="15">
      <c r="A37" s="14">
        <v>4.5</v>
      </c>
      <c r="B37" s="28" t="s">
        <v>179</v>
      </c>
      <c r="C37" s="16">
        <f t="shared" si="11"/>
        <v>0</v>
      </c>
      <c r="D37" s="72" t="str">
        <f>IF(AND($D$65=1,$M$64=1),D78,IF(D78="Pendiente",IF($D$66=0,"Mención ?","n/a"),"Rec-Opt"))</f>
        <v>Mención ?</v>
      </c>
      <c r="E37" s="361">
        <f t="shared" si="12"/>
        <v>0</v>
      </c>
      <c r="F37" s="14">
        <v>6</v>
      </c>
      <c r="G37" s="38" t="s">
        <v>86</v>
      </c>
      <c r="H37" s="16">
        <f t="shared" si="13"/>
        <v>0</v>
      </c>
      <c r="I37" s="72" t="str">
        <f>IF(AND($D$65=1,$M$64=2),I78,IF(I78="Pendiente",IF($D$66=0,"Mención ?","n/a"),"Rec-Opt"))</f>
        <v>Mención ?</v>
      </c>
      <c r="J37" s="357">
        <f t="shared" si="14"/>
        <v>0</v>
      </c>
      <c r="K37" s="14">
        <v>4.5</v>
      </c>
      <c r="L37" s="49" t="s">
        <v>201</v>
      </c>
      <c r="M37" s="16">
        <f t="shared" si="15"/>
        <v>0</v>
      </c>
      <c r="N37" s="72" t="str">
        <f>IF(AND($D$65=1,$M$64=3),N78,IF(N78="Pendiente",IF($D$66=0,"Mención ?","n/a"),"Rec-Opt"))</f>
        <v>Mención ?</v>
      </c>
      <c r="O37" s="357">
        <f t="shared" si="16"/>
        <v>0</v>
      </c>
      <c r="P37" s="14">
        <v>4.5</v>
      </c>
      <c r="Q37" s="58" t="s">
        <v>211</v>
      </c>
      <c r="R37" s="16">
        <f t="shared" si="17"/>
        <v>0</v>
      </c>
      <c r="S37" s="72" t="str">
        <f>IF(AND($D$65=1,$M$64=4),S78,IF(S78="Pendiente",IF($D$66=0,"Mención ?","n/a"),"Rec-Opt"))</f>
        <v>Mención ?</v>
      </c>
      <c r="T37" s="357">
        <f t="shared" si="18"/>
        <v>0</v>
      </c>
    </row>
    <row r="38" spans="1:20" s="7" customFormat="1" ht="15.75" thickBot="1">
      <c r="A38" s="14">
        <v>4.5</v>
      </c>
      <c r="B38" s="28" t="s">
        <v>181</v>
      </c>
      <c r="C38" s="16">
        <f t="shared" si="11"/>
        <v>0</v>
      </c>
      <c r="D38" s="72" t="str">
        <f>IF(AND($D$65=1,$M$64=1),D79,IF(D79="Pendiente",IF($D$66=0,"Mención ?","n/a"),"Rec-Opt"))</f>
        <v>Mención ?</v>
      </c>
      <c r="E38" s="361">
        <f t="shared" si="12"/>
        <v>0</v>
      </c>
      <c r="F38" s="22">
        <v>4.5</v>
      </c>
      <c r="G38" s="39" t="s">
        <v>73</v>
      </c>
      <c r="H38" s="24">
        <f t="shared" si="13"/>
        <v>0</v>
      </c>
      <c r="I38" s="75" t="str">
        <f>IF(AND($D$65=1,$M$64=2),I79,IF(I79="Pendiente",IF($D$66=0,"Mención ?","n/a"),"Rec-Opt"))</f>
        <v>Mención ?</v>
      </c>
      <c r="J38" s="357">
        <f t="shared" si="14"/>
        <v>0</v>
      </c>
      <c r="K38" s="14">
        <v>4.5</v>
      </c>
      <c r="L38" s="49" t="s">
        <v>228</v>
      </c>
      <c r="M38" s="16">
        <f t="shared" si="15"/>
        <v>0</v>
      </c>
      <c r="N38" s="72" t="str">
        <f>IF(AND($D$65=1,$M$64=3),N79,IF(N79="Pendiente",IF($D$66=0,"Mención ?","n/a"),"Rec-Opt"))</f>
        <v>Mención ?</v>
      </c>
      <c r="O38" s="357">
        <f t="shared" si="16"/>
        <v>0</v>
      </c>
      <c r="P38" s="22">
        <v>4.5</v>
      </c>
      <c r="Q38" s="59" t="s">
        <v>212</v>
      </c>
      <c r="R38" s="24">
        <f t="shared" si="17"/>
        <v>0</v>
      </c>
      <c r="S38" s="75" t="str">
        <f>IF(AND($D$65=1,$M$64=4),S79,IF(S79="Pendiente",IF($D$66=0,"Mención ?","n/a"),"Rec-Opt"))</f>
        <v>Mención ?</v>
      </c>
      <c r="T38" s="357">
        <f t="shared" si="18"/>
        <v>0</v>
      </c>
    </row>
    <row r="39" spans="1:19" s="7" customFormat="1" ht="15.75" thickBot="1">
      <c r="A39" s="22">
        <v>4.5</v>
      </c>
      <c r="B39" s="29" t="s">
        <v>182</v>
      </c>
      <c r="C39" s="24">
        <f t="shared" si="11"/>
        <v>0</v>
      </c>
      <c r="D39" s="75" t="str">
        <f>IF(AND($D$65=1,$M$64=1),D80,IF(D80="Pendiente",IF($D$66=0,"Mención ?","n/a"),"Rec-Opt"))</f>
        <v>Mención ?</v>
      </c>
      <c r="E39" s="361">
        <f t="shared" si="12"/>
        <v>0</v>
      </c>
      <c r="F39" s="25">
        <f>SUM(F30:F38)</f>
        <v>48</v>
      </c>
      <c r="G39" s="323" t="str">
        <f>IF(I39&gt;F39,"ERROR","")</f>
        <v/>
      </c>
      <c r="I39" s="63">
        <f>SUM(H30:H38)</f>
        <v>0</v>
      </c>
      <c r="K39" s="22">
        <v>4.5</v>
      </c>
      <c r="L39" s="50" t="s">
        <v>198</v>
      </c>
      <c r="M39" s="24">
        <f t="shared" si="15"/>
        <v>0</v>
      </c>
      <c r="N39" s="75" t="str">
        <f>IF(AND($D$65=1,$M$64=3),N80,IF(N80="Pendiente",IF($D$66=0,"Mención ?","n/a"),"Rec-Opt"))</f>
        <v>Mención ?</v>
      </c>
      <c r="O39" s="357">
        <f t="shared" si="16"/>
        <v>0</v>
      </c>
      <c r="P39" s="25">
        <f>SUM(P30:P38)</f>
        <v>48</v>
      </c>
      <c r="Q39" s="323" t="str">
        <f>IF(S39&gt;P39,"ERROR","")</f>
        <v/>
      </c>
      <c r="S39" s="63">
        <f>SUM(R30:R38)</f>
        <v>0</v>
      </c>
    </row>
    <row r="40" spans="1:19" s="7" customFormat="1" ht="15.75" thickBot="1">
      <c r="A40" s="25">
        <f>SUM(A30:A39)</f>
        <v>48</v>
      </c>
      <c r="B40" s="323" t="str">
        <f>IF(D40&gt;A40,"ERROR","")</f>
        <v/>
      </c>
      <c r="D40" s="63">
        <f>SUM(C30:C39)</f>
        <v>0</v>
      </c>
      <c r="E40" s="26"/>
      <c r="F40" s="26"/>
      <c r="G40" s="26"/>
      <c r="H40" s="26"/>
      <c r="I40" s="337"/>
      <c r="K40" s="25">
        <f>SUM(K30:K39)</f>
        <v>48</v>
      </c>
      <c r="L40" s="323" t="str">
        <f>IF(N40&gt;K40,"ERROR","")</f>
        <v/>
      </c>
      <c r="N40" s="63">
        <f>SUM(M30:M39)</f>
        <v>0</v>
      </c>
      <c r="S40" s="337"/>
    </row>
    <row r="41" spans="4:14" s="7" customFormat="1" ht="15.75" thickBot="1">
      <c r="D41" s="255"/>
      <c r="N41" s="255"/>
    </row>
    <row r="42" spans="4:14" s="7" customFormat="1" ht="15">
      <c r="D42" s="54" t="s">
        <v>271</v>
      </c>
      <c r="G42" s="338" t="s">
        <v>270</v>
      </c>
      <c r="H42" s="312"/>
      <c r="I42" s="339"/>
      <c r="J42" s="339"/>
      <c r="K42" s="339"/>
      <c r="L42" s="340"/>
      <c r="M42" s="53"/>
      <c r="N42" s="55" t="str">
        <f>IF(AND(D66=0,N65&gt;=13.5),"WARNING: la mención identificada con la adaptación es distinta","")</f>
        <v/>
      </c>
    </row>
    <row r="43" spans="4:14" s="7" customFormat="1" ht="15">
      <c r="D43" s="54">
        <f>I43-'Introducción de datos'!S12</f>
        <v>0</v>
      </c>
      <c r="G43" s="341" t="s">
        <v>272</v>
      </c>
      <c r="H43" s="315"/>
      <c r="I43" s="342">
        <f>SUM(D21,I23,N19,S20,D40,I39,N40,S39)</f>
        <v>0</v>
      </c>
      <c r="J43" s="342"/>
      <c r="K43" s="343" t="s">
        <v>290</v>
      </c>
      <c r="L43" s="344" t="str">
        <f>IF(M64=0,"","Sistemas")</f>
        <v/>
      </c>
      <c r="M43" s="53"/>
      <c r="N43" s="55" t="str">
        <f>IF(AND(D66=0,N65&gt;=13.5),"                 del itinerario más cursado antes de la adaptación","")</f>
        <v/>
      </c>
    </row>
    <row r="44" spans="4:14" s="7" customFormat="1" ht="15">
      <c r="D44" s="54">
        <f>I44-'Introducción de datos'!S13</f>
        <v>-48</v>
      </c>
      <c r="G44" s="341" t="s">
        <v>240</v>
      </c>
      <c r="H44" s="315"/>
      <c r="I44" s="342">
        <f>I45+I46+18-S20</f>
        <v>180</v>
      </c>
      <c r="J44" s="342"/>
      <c r="K44" s="342"/>
      <c r="L44" s="344" t="str">
        <f>IF(M64=1,"de Telecomunicación",IF(M64=2,"Telemáticos",IF(M64=3,"Electrónicos",IF(M64=4,"Audiovisuales",""))))</f>
        <v/>
      </c>
      <c r="M44" s="53"/>
      <c r="N44" s="55" t="str">
        <f>IF(I43&lt;N62,"WARNING: No se estan reconociendo todos los ECTS cursados","")</f>
        <v/>
      </c>
    </row>
    <row r="45" spans="4:14" s="7" customFormat="1" ht="15">
      <c r="D45" s="255"/>
      <c r="G45" s="341"/>
      <c r="H45" s="345" t="s">
        <v>273</v>
      </c>
      <c r="I45" s="342">
        <f>SUM(D22,D26,I24,I26,N20,N26,S26)</f>
        <v>88.5</v>
      </c>
      <c r="J45" s="342"/>
      <c r="K45" s="342"/>
      <c r="L45" s="344"/>
      <c r="N45" s="55"/>
    </row>
    <row r="46" spans="7:12" s="7" customFormat="1" ht="15">
      <c r="G46" s="341"/>
      <c r="H46" s="345" t="s">
        <v>274</v>
      </c>
      <c r="I46" s="346">
        <f>SUM(D23,D27,I25,I27,N21,N27,S27)</f>
        <v>73.5</v>
      </c>
      <c r="J46" s="342"/>
      <c r="K46" s="342"/>
      <c r="L46" s="344"/>
    </row>
    <row r="47" spans="7:12" s="7" customFormat="1" ht="15.75" thickBot="1">
      <c r="G47" s="347"/>
      <c r="H47" s="348" t="s">
        <v>275</v>
      </c>
      <c r="I47" s="349">
        <f>S21</f>
        <v>18</v>
      </c>
      <c r="J47" s="350"/>
      <c r="K47" s="350"/>
      <c r="L47" s="351"/>
    </row>
    <row r="48" s="7" customFormat="1" ht="15.75" hidden="1" thickBot="1"/>
    <row r="49" spans="1:19" s="7" customFormat="1" ht="15" hidden="1">
      <c r="A49" s="8"/>
      <c r="B49" s="9" t="s">
        <v>163</v>
      </c>
      <c r="C49" s="10"/>
      <c r="D49" s="62"/>
      <c r="E49" s="33"/>
      <c r="F49" s="8"/>
      <c r="G49" s="9" t="s">
        <v>164</v>
      </c>
      <c r="H49" s="10"/>
      <c r="I49" s="62"/>
      <c r="K49" s="8"/>
      <c r="L49" s="9" t="s">
        <v>158</v>
      </c>
      <c r="M49" s="10"/>
      <c r="N49" s="62"/>
      <c r="P49" s="8"/>
      <c r="Q49" s="9" t="s">
        <v>225</v>
      </c>
      <c r="R49" s="10"/>
      <c r="S49" s="62"/>
    </row>
    <row r="50" spans="1:19" s="7" customFormat="1" ht="15" hidden="1">
      <c r="A50" s="11" t="s">
        <v>2</v>
      </c>
      <c r="B50" s="12" t="s">
        <v>231</v>
      </c>
      <c r="C50" s="13"/>
      <c r="D50" s="66" t="s">
        <v>222</v>
      </c>
      <c r="E50" s="320"/>
      <c r="F50" s="11" t="s">
        <v>2</v>
      </c>
      <c r="G50" s="12" t="s">
        <v>231</v>
      </c>
      <c r="H50" s="13"/>
      <c r="I50" s="66" t="s">
        <v>222</v>
      </c>
      <c r="K50" s="11" t="s">
        <v>2</v>
      </c>
      <c r="L50" s="12" t="s">
        <v>231</v>
      </c>
      <c r="M50" s="13"/>
      <c r="N50" s="66" t="s">
        <v>222</v>
      </c>
      <c r="P50" s="11" t="s">
        <v>2</v>
      </c>
      <c r="Q50" s="12" t="s">
        <v>231</v>
      </c>
      <c r="R50" s="13"/>
      <c r="S50" s="66" t="s">
        <v>222</v>
      </c>
    </row>
    <row r="51" spans="1:19" s="7" customFormat="1" ht="15" hidden="1">
      <c r="A51" s="14">
        <v>7.5</v>
      </c>
      <c r="B51" s="15" t="s">
        <v>4</v>
      </c>
      <c r="C51" s="16">
        <f>IF(D51="Reconocida",A51,0)</f>
        <v>0</v>
      </c>
      <c r="D51" s="352" t="str">
        <f>IF('Introducción de datos'!D5="x","Reconocida","Pendiente")</f>
        <v>Pendiente</v>
      </c>
      <c r="E51" s="52"/>
      <c r="F51" s="14">
        <v>4.5</v>
      </c>
      <c r="G51" s="35" t="s">
        <v>43</v>
      </c>
      <c r="H51" s="16">
        <f aca="true" t="shared" si="19" ref="H51:H62">IF(I51="Reconocida",F51,0)</f>
        <v>0</v>
      </c>
      <c r="I51" s="72" t="str">
        <f>IF('Introducción de datos'!I5="x","Reconocida","Pendiente")</f>
        <v>Pendiente</v>
      </c>
      <c r="K51" s="14">
        <v>7.5</v>
      </c>
      <c r="L51" s="36" t="s">
        <v>165</v>
      </c>
      <c r="M51" s="16">
        <f aca="true" t="shared" si="20" ref="M51:M53">IF(N51="Reconocida",K51,0)</f>
        <v>0</v>
      </c>
      <c r="N51" s="72" t="str">
        <f>IF('Introducción de datos'!N5="x","Reconocida","Pendiente")</f>
        <v>Pendiente</v>
      </c>
      <c r="P51" s="14">
        <v>4.5</v>
      </c>
      <c r="Q51" s="73" t="s">
        <v>180</v>
      </c>
      <c r="R51" s="16">
        <f aca="true" t="shared" si="21" ref="R51:R54">IF(S51="Reconocida",P51,0)</f>
        <v>0</v>
      </c>
      <c r="S51" s="72" t="str">
        <f>IF('Introducción de datos'!D31="x","Reconocida","Opcional")</f>
        <v>Opcional</v>
      </c>
    </row>
    <row r="52" spans="1:19" s="7" customFormat="1" ht="15" hidden="1">
      <c r="A52" s="14">
        <v>6</v>
      </c>
      <c r="B52" s="15" t="s">
        <v>7</v>
      </c>
      <c r="C52" s="16">
        <f aca="true" t="shared" si="22" ref="C52:C60">IF(D52="Reconocida",A52,0)</f>
        <v>0</v>
      </c>
      <c r="D52" s="72" t="str">
        <f>IF('Introducción de datos'!D6="x","Reconocida","Pendiente")</f>
        <v>Pendiente</v>
      </c>
      <c r="E52" s="52"/>
      <c r="F52" s="14">
        <v>4.5</v>
      </c>
      <c r="G52" s="35" t="s">
        <v>148</v>
      </c>
      <c r="H52" s="16">
        <f t="shared" si="19"/>
        <v>0</v>
      </c>
      <c r="I52" s="72" t="str">
        <f>IF('Introducción de datos'!I6="x","Reconocida","Pendiente")</f>
        <v>Pendiente</v>
      </c>
      <c r="K52" s="14">
        <v>4.5</v>
      </c>
      <c r="L52" s="36" t="s">
        <v>166</v>
      </c>
      <c r="M52" s="16">
        <f t="shared" si="20"/>
        <v>0</v>
      </c>
      <c r="N52" s="72" t="str">
        <f>IF('Introducción de datos'!N6="x","Reconocida","Pendiente")</f>
        <v>Pendiente</v>
      </c>
      <c r="P52" s="14">
        <v>4.5</v>
      </c>
      <c r="Q52" s="73" t="s">
        <v>199</v>
      </c>
      <c r="R52" s="16">
        <f t="shared" si="21"/>
        <v>0</v>
      </c>
      <c r="S52" s="72" t="str">
        <f>IF('Introducción de datos'!N32="x","Reconocida","Opcional")</f>
        <v>Opcional</v>
      </c>
    </row>
    <row r="53" spans="1:19" s="7" customFormat="1" ht="15" hidden="1">
      <c r="A53" s="14">
        <v>6</v>
      </c>
      <c r="B53" s="15" t="s">
        <v>10</v>
      </c>
      <c r="C53" s="16">
        <f t="shared" si="22"/>
        <v>0</v>
      </c>
      <c r="D53" s="72" t="str">
        <f>IF('Introducción de datos'!D7="x","Reconocida","Pendiente")</f>
        <v>Pendiente</v>
      </c>
      <c r="E53" s="52"/>
      <c r="F53" s="14">
        <v>6</v>
      </c>
      <c r="G53" s="15" t="s">
        <v>149</v>
      </c>
      <c r="H53" s="16">
        <f t="shared" si="19"/>
        <v>0</v>
      </c>
      <c r="I53" s="72" t="str">
        <f>IF('Introducción de datos'!I7="x","Reconocida","Pendiente")</f>
        <v>Pendiente</v>
      </c>
      <c r="K53" s="14">
        <v>4.5</v>
      </c>
      <c r="L53" s="36" t="s">
        <v>167</v>
      </c>
      <c r="M53" s="16">
        <f t="shared" si="20"/>
        <v>0</v>
      </c>
      <c r="N53" s="72" t="str">
        <f>IF('Introducción de datos'!N7="x","Reconocida","Pendiente")</f>
        <v>Pendiente</v>
      </c>
      <c r="O53" s="32"/>
      <c r="P53" s="14">
        <v>4.5</v>
      </c>
      <c r="Q53" s="73" t="s">
        <v>168</v>
      </c>
      <c r="R53" s="16">
        <f t="shared" si="21"/>
        <v>0</v>
      </c>
      <c r="S53" s="72" t="str">
        <f>IF('Introducción de datos'!N8="x","Reconocida","Opcional")</f>
        <v>Opcional</v>
      </c>
    </row>
    <row r="54" spans="1:19" s="7" customFormat="1" ht="15.75" hidden="1" thickBot="1">
      <c r="A54" s="14">
        <v>6</v>
      </c>
      <c r="B54" s="15" t="s">
        <v>161</v>
      </c>
      <c r="C54" s="16">
        <f t="shared" si="22"/>
        <v>0</v>
      </c>
      <c r="D54" s="72" t="str">
        <f>IF('Introducción de datos'!D13="x","Reconocida","Pendiente")</f>
        <v>Pendiente</v>
      </c>
      <c r="E54" s="52"/>
      <c r="F54" s="14">
        <v>6</v>
      </c>
      <c r="G54" s="15" t="s">
        <v>150</v>
      </c>
      <c r="H54" s="16">
        <f t="shared" si="19"/>
        <v>0</v>
      </c>
      <c r="I54" s="72" t="str">
        <f>IF('Introducción de datos'!I8="x","Reconocida","Pendiente")</f>
        <v>Pendiente</v>
      </c>
      <c r="K54" s="14">
        <v>6</v>
      </c>
      <c r="L54" s="35" t="s">
        <v>203</v>
      </c>
      <c r="M54" s="16">
        <f aca="true" t="shared" si="23" ref="M54:M58">IF(N54="Reconocida",K54,0)</f>
        <v>0</v>
      </c>
      <c r="N54" s="72" t="str">
        <f>IF(OR('Introducción de datos'!S22="x",'Introducción de datos'!D22="x"),"Reconocida","Pendiente")</f>
        <v>Pendiente</v>
      </c>
      <c r="O54" s="255">
        <f>IF('Introducción de datos'!D22="x",IF('Introducción de datos'!S22="x",4.5,-1.5),0)</f>
        <v>0</v>
      </c>
      <c r="P54" s="22">
        <v>4.5</v>
      </c>
      <c r="Q54" s="74" t="s">
        <v>226</v>
      </c>
      <c r="R54" s="24">
        <f t="shared" si="21"/>
        <v>0</v>
      </c>
      <c r="S54" s="75" t="str">
        <f>IF('Introducción de datos'!N9="x","Reconocida","Opcional")</f>
        <v>Opcional</v>
      </c>
    </row>
    <row r="55" spans="1:19" s="7" customFormat="1" ht="15.75" hidden="1" thickBot="1">
      <c r="A55" s="17">
        <v>4.5</v>
      </c>
      <c r="B55" s="18" t="s">
        <v>160</v>
      </c>
      <c r="C55" s="16">
        <f t="shared" si="22"/>
        <v>0</v>
      </c>
      <c r="D55" s="321" t="str">
        <f>IF('Introducción de datos'!D9="x","Reconocida","Pendiente")</f>
        <v>Pendiente</v>
      </c>
      <c r="E55" s="52"/>
      <c r="F55" s="14">
        <v>4.5</v>
      </c>
      <c r="G55" s="36" t="s">
        <v>151</v>
      </c>
      <c r="H55" s="16">
        <f t="shared" si="19"/>
        <v>0</v>
      </c>
      <c r="I55" s="72" t="str">
        <f>IF('Introducción de datos'!I9="x","Reconocida","Pendiente")</f>
        <v>Pendiente</v>
      </c>
      <c r="K55" s="22">
        <v>6</v>
      </c>
      <c r="L55" s="76" t="s">
        <v>195</v>
      </c>
      <c r="M55" s="24">
        <f t="shared" si="23"/>
        <v>0</v>
      </c>
      <c r="N55" s="75" t="str">
        <f>IF('Introducción de datos'!N27="x","Reconocida","Pendiente")</f>
        <v>Pendiente</v>
      </c>
      <c r="P55" s="19"/>
      <c r="Q55" s="77" t="s">
        <v>214</v>
      </c>
      <c r="R55" s="21">
        <f>S55</f>
        <v>0</v>
      </c>
      <c r="S55" s="78">
        <f>'Introducción de datos'!P4</f>
        <v>0</v>
      </c>
    </row>
    <row r="56" spans="1:19" s="7" customFormat="1" ht="15.75" hidden="1" thickBot="1">
      <c r="A56" s="19">
        <v>7.5</v>
      </c>
      <c r="B56" s="20" t="s">
        <v>5</v>
      </c>
      <c r="C56" s="21">
        <f t="shared" si="22"/>
        <v>0</v>
      </c>
      <c r="D56" s="78" t="str">
        <f>IF('Introducción de datos'!D10="x","Reconocida","Pendiente")</f>
        <v>Pendiente</v>
      </c>
      <c r="E56" s="52"/>
      <c r="F56" s="22">
        <v>4.5</v>
      </c>
      <c r="G56" s="23" t="s">
        <v>152</v>
      </c>
      <c r="H56" s="24">
        <f t="shared" si="19"/>
        <v>0</v>
      </c>
      <c r="I56" s="75" t="str">
        <f>IF('Introducción de datos'!I10="x","Reconocida","Pendiente")</f>
        <v>Pendiente</v>
      </c>
      <c r="K56" s="19">
        <v>4.5</v>
      </c>
      <c r="L56" s="79" t="s">
        <v>223</v>
      </c>
      <c r="M56" s="21">
        <f t="shared" si="23"/>
        <v>0</v>
      </c>
      <c r="N56" s="78" t="str">
        <f>IF('Introducción de datos'!D23="x","Reconocida","Pendiente")</f>
        <v>Pendiente</v>
      </c>
      <c r="P56" s="322" t="s">
        <v>236</v>
      </c>
      <c r="Q56" s="73" t="s">
        <v>215</v>
      </c>
      <c r="R56" s="16">
        <f aca="true" t="shared" si="24" ref="R56:R59">S56</f>
        <v>0</v>
      </c>
      <c r="S56" s="72">
        <f>'Introducción de datos'!P5</f>
        <v>0</v>
      </c>
    </row>
    <row r="57" spans="1:19" s="7" customFormat="1" ht="15" hidden="1">
      <c r="A57" s="14">
        <v>6</v>
      </c>
      <c r="B57" s="15" t="s">
        <v>8</v>
      </c>
      <c r="C57" s="16">
        <f t="shared" si="22"/>
        <v>0</v>
      </c>
      <c r="D57" s="72" t="str">
        <f>IF('Introducción de datos'!D11="x","Reconocida","Pendiente")</f>
        <v>Pendiente</v>
      </c>
      <c r="E57" s="52"/>
      <c r="F57" s="19">
        <v>4.5</v>
      </c>
      <c r="G57" s="37" t="s">
        <v>156</v>
      </c>
      <c r="H57" s="21">
        <f t="shared" si="19"/>
        <v>0</v>
      </c>
      <c r="I57" s="78" t="str">
        <f>IF('Introducción de datos'!I11="x","Reconocida","Pendiente")</f>
        <v>Pendiente</v>
      </c>
      <c r="K57" s="14">
        <v>4.5</v>
      </c>
      <c r="L57" s="35" t="s">
        <v>189</v>
      </c>
      <c r="M57" s="16">
        <f t="shared" si="23"/>
        <v>0</v>
      </c>
      <c r="N57" s="72" t="str">
        <f>IF('Introducción de datos'!I30="x","Reconocida","Pendiente")</f>
        <v>Pendiente</v>
      </c>
      <c r="P57" s="322" t="s">
        <v>237</v>
      </c>
      <c r="Q57" s="73" t="s">
        <v>221</v>
      </c>
      <c r="R57" s="16">
        <f t="shared" si="24"/>
        <v>0</v>
      </c>
      <c r="S57" s="72">
        <f>'Introducción de datos'!P6</f>
        <v>0</v>
      </c>
    </row>
    <row r="58" spans="1:19" s="7" customFormat="1" ht="15.75" hidden="1" thickBot="1">
      <c r="A58" s="14">
        <v>6</v>
      </c>
      <c r="B58" s="15" t="s">
        <v>147</v>
      </c>
      <c r="C58" s="16">
        <f t="shared" si="22"/>
        <v>0</v>
      </c>
      <c r="D58" s="72" t="str">
        <f>IF('Introducción de datos'!D12="x","Reconocida","Pendiente")</f>
        <v>Pendiente</v>
      </c>
      <c r="E58" s="52"/>
      <c r="F58" s="14">
        <v>4.5</v>
      </c>
      <c r="G58" s="36" t="s">
        <v>157</v>
      </c>
      <c r="H58" s="16">
        <f t="shared" si="19"/>
        <v>0</v>
      </c>
      <c r="I58" s="72" t="str">
        <f>IF('Introducción de datos'!I12="x","Reconocida","Pendiente")</f>
        <v>Pendiente</v>
      </c>
      <c r="K58" s="22">
        <v>4.5</v>
      </c>
      <c r="L58" s="76" t="s">
        <v>224</v>
      </c>
      <c r="M58" s="24">
        <f t="shared" si="23"/>
        <v>0</v>
      </c>
      <c r="N58" s="75" t="str">
        <f>IF(OR('Introducción de datos'!I31="x",'Introducción de datos'!S26="x"),"Reconocida","Pendiente")</f>
        <v>Pendiente</v>
      </c>
      <c r="O58" s="32">
        <f>IF(AND('Introducción de datos'!I31="x",'Introducción de datos'!S26="x"),4.5,0)</f>
        <v>0</v>
      </c>
      <c r="P58" s="14"/>
      <c r="Q58" s="73" t="s">
        <v>239</v>
      </c>
      <c r="R58" s="16">
        <f t="shared" si="24"/>
        <v>0</v>
      </c>
      <c r="S58" s="72">
        <f>'Introducción de datos'!P7</f>
        <v>0</v>
      </c>
    </row>
    <row r="59" spans="1:19" s="7" customFormat="1" ht="15.75" hidden="1" thickBot="1">
      <c r="A59" s="14">
        <v>6</v>
      </c>
      <c r="B59" s="15" t="s">
        <v>159</v>
      </c>
      <c r="C59" s="16">
        <f t="shared" si="22"/>
        <v>0</v>
      </c>
      <c r="D59" s="72" t="str">
        <f>IF('Introducción de datos'!D8="x","Reconocida","Pendiente")</f>
        <v>Pendiente</v>
      </c>
      <c r="E59" s="52"/>
      <c r="F59" s="14">
        <v>6</v>
      </c>
      <c r="G59" s="36" t="s">
        <v>155</v>
      </c>
      <c r="H59" s="16">
        <f t="shared" si="19"/>
        <v>0</v>
      </c>
      <c r="I59" s="72" t="str">
        <f>IF('Introducción de datos'!I13="x","Reconocida","Pendiente")</f>
        <v>Pendiente</v>
      </c>
      <c r="K59" s="25">
        <f>SUM(K51:K58)</f>
        <v>42</v>
      </c>
      <c r="L59" s="323" t="str">
        <f>IF(N59&gt;K59,"ERROR","")</f>
        <v/>
      </c>
      <c r="M59" s="27"/>
      <c r="N59" s="63">
        <f>SUM(M51:M58)</f>
        <v>0</v>
      </c>
      <c r="P59" s="22"/>
      <c r="Q59" s="74" t="s">
        <v>238</v>
      </c>
      <c r="R59" s="24">
        <f t="shared" si="24"/>
        <v>0</v>
      </c>
      <c r="S59" s="75">
        <f>SUM(D81,I80,N81,S80,E75,E77,J74,O54,O58)-N65</f>
        <v>0</v>
      </c>
    </row>
    <row r="60" spans="1:20" s="7" customFormat="1" ht="15.75" hidden="1" thickBot="1">
      <c r="A60" s="22">
        <v>4.5</v>
      </c>
      <c r="B60" s="23" t="s">
        <v>162</v>
      </c>
      <c r="C60" s="24">
        <f t="shared" si="22"/>
        <v>0</v>
      </c>
      <c r="D60" s="75" t="str">
        <f>IF('Introducción de datos'!D14="x","Reconocida","Pendiente")</f>
        <v>Pendiente</v>
      </c>
      <c r="E60" s="52"/>
      <c r="F60" s="14">
        <v>6</v>
      </c>
      <c r="G60" s="36" t="s">
        <v>154</v>
      </c>
      <c r="H60" s="16">
        <f t="shared" si="19"/>
        <v>0</v>
      </c>
      <c r="I60" s="72" t="str">
        <f>IF('Introducción de datos'!I14="x","Reconocida","Pendiente")</f>
        <v>Pendiente</v>
      </c>
      <c r="P60" s="25">
        <v>18</v>
      </c>
      <c r="Q60" s="323" t="str">
        <f>IF(S60&gt;P60,"WARNING","")</f>
        <v/>
      </c>
      <c r="R60" s="27">
        <f>SUM(R51:R58)</f>
        <v>0</v>
      </c>
      <c r="S60" s="63">
        <f>R59+R60</f>
        <v>0</v>
      </c>
      <c r="T60" s="55" t="str">
        <f>IF(S60&gt;24,"El exceso sobre 18 ECTS no computa","")</f>
        <v/>
      </c>
    </row>
    <row r="61" spans="1:19" s="7" customFormat="1" ht="15.75" hidden="1" thickBot="1">
      <c r="A61" s="25">
        <f>SUM(A51:A60)</f>
        <v>60</v>
      </c>
      <c r="B61" s="323" t="str">
        <f>IF(D61&gt;A61,"ERROR","")</f>
        <v/>
      </c>
      <c r="C61" s="27"/>
      <c r="D61" s="63">
        <f>SUM(C51:C60)</f>
        <v>0</v>
      </c>
      <c r="E61" s="52"/>
      <c r="F61" s="14">
        <v>4.5</v>
      </c>
      <c r="G61" s="36" t="s">
        <v>153</v>
      </c>
      <c r="H61" s="16">
        <f t="shared" si="19"/>
        <v>0</v>
      </c>
      <c r="I61" s="72" t="str">
        <f>IF('Introducción de datos'!I15="x","Reconocida","Pendiente")</f>
        <v>Pendiente</v>
      </c>
      <c r="L61" s="67" t="s">
        <v>216</v>
      </c>
      <c r="P61" s="45"/>
      <c r="Q61" s="325" t="str">
        <f>IF(S60&gt;P60,"Conviene una adaptación singular","")</f>
        <v/>
      </c>
      <c r="R61" s="45"/>
      <c r="S61" s="45">
        <f>P60-S60</f>
        <v>18</v>
      </c>
    </row>
    <row r="62" spans="5:19" s="7" customFormat="1" ht="15.75" hidden="1" thickBot="1">
      <c r="E62" s="45"/>
      <c r="F62" s="22">
        <v>4.5</v>
      </c>
      <c r="G62" s="23" t="s">
        <v>25</v>
      </c>
      <c r="H62" s="24">
        <f t="shared" si="19"/>
        <v>0</v>
      </c>
      <c r="I62" s="75" t="str">
        <f>IF('Introducción de datos'!I16="x","Reconocida","Pendiente")</f>
        <v>Pendiente</v>
      </c>
      <c r="L62" s="261" t="s">
        <v>218</v>
      </c>
      <c r="M62" s="263"/>
      <c r="N62" s="56">
        <f>SUM(D61,I63,N59,S60,N65)</f>
        <v>0</v>
      </c>
      <c r="O62" s="65" t="str">
        <f>IF(NOT(N62='Introducción de datos'!S12),"ERROR","OK")</f>
        <v>OK</v>
      </c>
      <c r="P62" s="45"/>
      <c r="Q62" s="353" t="str">
        <f>IF(S60&lt;P60,"La adaptación es inmediata","")</f>
        <v>La adaptación es inmediata</v>
      </c>
      <c r="R62" s="45"/>
      <c r="S62" s="45"/>
    </row>
    <row r="63" spans="5:15" s="7" customFormat="1" ht="15.75" hidden="1" thickBot="1">
      <c r="E63" s="33"/>
      <c r="F63" s="25">
        <f>SUM(F51:F62)</f>
        <v>60</v>
      </c>
      <c r="G63" s="323" t="str">
        <f>IF(I63&gt;F63,"ERROR","")</f>
        <v/>
      </c>
      <c r="I63" s="63">
        <f>SUM(H51:H62)</f>
        <v>0</v>
      </c>
      <c r="L63" s="261" t="s">
        <v>259</v>
      </c>
      <c r="M63" s="263"/>
      <c r="N63" s="264">
        <f>SUM(S60,N65)</f>
        <v>0</v>
      </c>
      <c r="O63" s="65" t="str">
        <f>IF(N63&gt;66," WARNING: Excesos","OK")</f>
        <v>OK</v>
      </c>
    </row>
    <row r="64" spans="5:17" s="7" customFormat="1" ht="15" hidden="1">
      <c r="E64" s="33"/>
      <c r="F64" s="52"/>
      <c r="G64" s="323"/>
      <c r="I64" s="26"/>
      <c r="L64" s="261" t="s">
        <v>217</v>
      </c>
      <c r="M64" s="263">
        <f>IF(D81&gt;MAX(I80,N81,S80),1,IF(I80&gt;MAX(D81,N81,S80),2,IF(N81&gt;MAX(D81,I80,S80),3,IF(S80&gt;MAX(D81,I80,N81),4,0))))</f>
        <v>0</v>
      </c>
      <c r="N64" s="261" t="str">
        <f>IF(M64=1,"Sistemas de Telecomunicación",IF(M64=2,"Sistemas Telemáticos",IF(M64=3,"Sistemas Electrónicos",IF(M64=4,"Sistemas Audiovisuales","El itinerario está por elegir"))))</f>
        <v>El itinerario está por elegir</v>
      </c>
      <c r="O64" s="262"/>
      <c r="P64" s="262"/>
      <c r="Q64" s="354" t="str">
        <f>IF(M64='Introducción de datos'!P14,"Itinerario confirmado","WARNING")</f>
        <v>Itinerario confirmado</v>
      </c>
    </row>
    <row r="65" spans="2:15" s="7" customFormat="1" ht="15" hidden="1">
      <c r="B65" s="7" t="s">
        <v>294</v>
      </c>
      <c r="D65" s="7">
        <f>IF(OR('Introducción de datos'!$I$36=0,'Introducción de datos'!$V$25="x"),1,0)</f>
        <v>1</v>
      </c>
      <c r="E65" s="33"/>
      <c r="F65" s="52"/>
      <c r="G65" s="323"/>
      <c r="I65" s="26"/>
      <c r="L65" s="261" t="s">
        <v>219</v>
      </c>
      <c r="M65" s="263"/>
      <c r="N65" s="56">
        <f>MAX(D81,I80,N81,S80)</f>
        <v>0</v>
      </c>
      <c r="O65" s="65" t="str">
        <f>IF(D66=0,"Cambio","OK")</f>
        <v>Cambio</v>
      </c>
    </row>
    <row r="66" spans="2:14" s="7" customFormat="1" ht="15" hidden="1">
      <c r="B66" s="7" t="s">
        <v>295</v>
      </c>
      <c r="D66" s="7">
        <f>IF(M64='Introducción de datos'!P14,M64,0)</f>
        <v>0</v>
      </c>
      <c r="E66" s="33"/>
      <c r="F66" s="52"/>
      <c r="G66" s="323"/>
      <c r="I66" s="26"/>
      <c r="L66" s="261" t="s">
        <v>220</v>
      </c>
      <c r="M66" s="263"/>
      <c r="N66" s="56">
        <f>MIN(18,S60)</f>
        <v>0</v>
      </c>
    </row>
    <row r="67" spans="5:9" s="7" customFormat="1" ht="15" hidden="1">
      <c r="E67" s="33"/>
      <c r="F67" s="52"/>
      <c r="G67" s="323"/>
      <c r="I67" s="26"/>
    </row>
    <row r="68" spans="5:9" s="7" customFormat="1" ht="15.75" hidden="1" thickBot="1">
      <c r="E68" s="320"/>
      <c r="F68" s="320"/>
      <c r="G68" s="320"/>
      <c r="H68" s="320"/>
      <c r="I68" s="320"/>
    </row>
    <row r="69" spans="1:19" s="7" customFormat="1" ht="15" hidden="1">
      <c r="A69" s="8"/>
      <c r="B69" s="9" t="s">
        <v>170</v>
      </c>
      <c r="C69" s="10"/>
      <c r="D69" s="62"/>
      <c r="E69" s="26"/>
      <c r="F69" s="8"/>
      <c r="G69" s="9" t="s">
        <v>252</v>
      </c>
      <c r="H69" s="10"/>
      <c r="I69" s="62"/>
      <c r="K69" s="8"/>
      <c r="L69" s="9" t="s">
        <v>191</v>
      </c>
      <c r="M69" s="10"/>
      <c r="N69" s="62"/>
      <c r="P69" s="8"/>
      <c r="Q69" s="9" t="s">
        <v>253</v>
      </c>
      <c r="R69" s="10"/>
      <c r="S69" s="62"/>
    </row>
    <row r="70" spans="1:19" s="7" customFormat="1" ht="15" hidden="1">
      <c r="A70" s="11" t="s">
        <v>2</v>
      </c>
      <c r="B70" s="12" t="s">
        <v>231</v>
      </c>
      <c r="C70" s="13"/>
      <c r="D70" s="66" t="s">
        <v>222</v>
      </c>
      <c r="E70" s="26"/>
      <c r="F70" s="11" t="s">
        <v>2</v>
      </c>
      <c r="G70" s="12" t="s">
        <v>231</v>
      </c>
      <c r="H70" s="13"/>
      <c r="I70" s="66" t="s">
        <v>222</v>
      </c>
      <c r="K70" s="11" t="s">
        <v>2</v>
      </c>
      <c r="L70" s="12" t="s">
        <v>231</v>
      </c>
      <c r="M70" s="13"/>
      <c r="N70" s="66" t="s">
        <v>222</v>
      </c>
      <c r="P70" s="11" t="s">
        <v>2</v>
      </c>
      <c r="Q70" s="12" t="s">
        <v>231</v>
      </c>
      <c r="R70" s="13"/>
      <c r="S70" s="66" t="s">
        <v>222</v>
      </c>
    </row>
    <row r="71" spans="1:19" s="7" customFormat="1" ht="15" hidden="1">
      <c r="A71" s="14">
        <v>4.5</v>
      </c>
      <c r="B71" s="28" t="s">
        <v>173</v>
      </c>
      <c r="C71" s="16">
        <f aca="true" t="shared" si="25" ref="C71:C80">IF(D71="Reconocida",A71,0)</f>
        <v>0</v>
      </c>
      <c r="D71" s="72" t="str">
        <f>IF('Introducción de datos'!D24="x","Reconocida","Pendiente")</f>
        <v>Pendiente</v>
      </c>
      <c r="E71" s="26"/>
      <c r="F71" s="14">
        <v>6</v>
      </c>
      <c r="G71" s="38" t="s">
        <v>183</v>
      </c>
      <c r="H71" s="16">
        <f aca="true" t="shared" si="26" ref="H71:H79">IF(I71="Reconocida",F71,0)</f>
        <v>0</v>
      </c>
      <c r="I71" s="72" t="str">
        <f>IF('Introducción de datos'!I22="x","Reconocida","Pendiente")</f>
        <v>Pendiente</v>
      </c>
      <c r="K71" s="14">
        <v>4.5</v>
      </c>
      <c r="L71" s="49" t="s">
        <v>93</v>
      </c>
      <c r="M71" s="16">
        <f aca="true" t="shared" si="27" ref="M71:M80">IF(N71="Reconocida",K71,0)</f>
        <v>0</v>
      </c>
      <c r="N71" s="72" t="str">
        <f>IF('Introducción de datos'!N24="x","Reconocida","Pendiente")</f>
        <v>Pendiente</v>
      </c>
      <c r="P71" s="14">
        <v>6</v>
      </c>
      <c r="Q71" s="58" t="s">
        <v>209</v>
      </c>
      <c r="R71" s="16">
        <f aca="true" t="shared" si="28" ref="R71:R79">IF(S71="Reconocida",P71,0)</f>
        <v>0</v>
      </c>
      <c r="S71" s="72" t="str">
        <f>IF('Introducción de datos'!S28="x","Reconocida","Pendiente")</f>
        <v>Pendiente</v>
      </c>
    </row>
    <row r="72" spans="1:19" s="7" customFormat="1" ht="15" hidden="1">
      <c r="A72" s="14">
        <v>4.5</v>
      </c>
      <c r="B72" s="28" t="s">
        <v>174</v>
      </c>
      <c r="C72" s="16">
        <f t="shared" si="25"/>
        <v>0</v>
      </c>
      <c r="D72" s="72" t="str">
        <f>IF('Introducción de datos'!D25="x","Reconocida","Pendiente")</f>
        <v>Pendiente</v>
      </c>
      <c r="E72" s="26"/>
      <c r="F72" s="14">
        <v>6</v>
      </c>
      <c r="G72" s="38" t="s">
        <v>184</v>
      </c>
      <c r="H72" s="16">
        <f t="shared" si="26"/>
        <v>0</v>
      </c>
      <c r="I72" s="72" t="str">
        <f>IF('Introducción de datos'!I23="x","Reconocida","Pendiente")</f>
        <v>Pendiente</v>
      </c>
      <c r="J72" s="255"/>
      <c r="K72" s="14">
        <v>4.5</v>
      </c>
      <c r="L72" s="49" t="s">
        <v>92</v>
      </c>
      <c r="M72" s="16">
        <f t="shared" si="27"/>
        <v>0</v>
      </c>
      <c r="N72" s="72" t="str">
        <f>IF('Introducción de datos'!N25="x","Reconocida","Pendiente")</f>
        <v>Pendiente</v>
      </c>
      <c r="P72" s="14">
        <v>6</v>
      </c>
      <c r="Q72" s="58" t="s">
        <v>204</v>
      </c>
      <c r="R72" s="16">
        <f t="shared" si="28"/>
        <v>0</v>
      </c>
      <c r="S72" s="72" t="str">
        <f>IF('Introducción de datos'!S23="x","Reconocida","Pendiente")</f>
        <v>Pendiente</v>
      </c>
    </row>
    <row r="73" spans="1:19" s="7" customFormat="1" ht="15.75" hidden="1" thickBot="1">
      <c r="A73" s="14">
        <v>4.5</v>
      </c>
      <c r="B73" s="28" t="s">
        <v>227</v>
      </c>
      <c r="C73" s="16">
        <f t="shared" si="25"/>
        <v>0</v>
      </c>
      <c r="D73" s="72" t="str">
        <f>IF('Introducción de datos'!D26="x","Reconocida","Pendiente")</f>
        <v>Pendiente</v>
      </c>
      <c r="E73" s="26"/>
      <c r="F73" s="22">
        <v>6</v>
      </c>
      <c r="G73" s="39" t="s">
        <v>185</v>
      </c>
      <c r="H73" s="24">
        <f t="shared" si="26"/>
        <v>0</v>
      </c>
      <c r="I73" s="75" t="str">
        <f>IF('Introducción de datos'!I24="x","Reconocida","Pendiente")</f>
        <v>Pendiente</v>
      </c>
      <c r="K73" s="14">
        <v>4.5</v>
      </c>
      <c r="L73" s="49" t="s">
        <v>192</v>
      </c>
      <c r="M73" s="16">
        <f t="shared" si="27"/>
        <v>0</v>
      </c>
      <c r="N73" s="72" t="str">
        <f>IF('Introducción de datos'!N21="x","Reconocida","Pendiente")</f>
        <v>Pendiente</v>
      </c>
      <c r="P73" s="22">
        <v>6</v>
      </c>
      <c r="Q73" s="58" t="s">
        <v>205</v>
      </c>
      <c r="R73" s="335">
        <f t="shared" si="28"/>
        <v>0</v>
      </c>
      <c r="S73" s="75" t="str">
        <f>IF('Introducción de datos'!S24="x","Reconocida","Pendiente")</f>
        <v>Pendiente</v>
      </c>
    </row>
    <row r="74" spans="1:19" s="7" customFormat="1" ht="15.75" hidden="1" thickBot="1">
      <c r="A74" s="22">
        <v>4.5</v>
      </c>
      <c r="B74" s="29" t="s">
        <v>176</v>
      </c>
      <c r="C74" s="335">
        <f t="shared" si="25"/>
        <v>0</v>
      </c>
      <c r="D74" s="75" t="str">
        <f>IF('Introducción de datos'!D27="x","Reconocida","Pendiente")</f>
        <v>Pendiente</v>
      </c>
      <c r="E74" s="26"/>
      <c r="F74" s="19">
        <v>4.5</v>
      </c>
      <c r="G74" s="41" t="s">
        <v>81</v>
      </c>
      <c r="H74" s="336">
        <f t="shared" si="26"/>
        <v>0</v>
      </c>
      <c r="I74" s="78" t="str">
        <f>IF('Introducción de datos'!I25="x","Reconocida","Pendiente")</f>
        <v>Pendiente</v>
      </c>
      <c r="J74" s="32">
        <f>IF(I74="Reconocida",1.5,0)</f>
        <v>0</v>
      </c>
      <c r="K74" s="22">
        <v>4.5</v>
      </c>
      <c r="L74" s="50" t="s">
        <v>194</v>
      </c>
      <c r="M74" s="335">
        <f t="shared" si="27"/>
        <v>0</v>
      </c>
      <c r="N74" s="75" t="str">
        <f>IF('Introducción de datos'!N23="x","Reconocida","Pendiente")</f>
        <v>Pendiente</v>
      </c>
      <c r="P74" s="19">
        <v>4.5</v>
      </c>
      <c r="Q74" s="60" t="s">
        <v>206</v>
      </c>
      <c r="R74" s="21">
        <f t="shared" si="28"/>
        <v>0</v>
      </c>
      <c r="S74" s="78" t="str">
        <f>IF('Introducción de datos'!S25="x","Reconocida","Pendiente")</f>
        <v>Pendiente</v>
      </c>
    </row>
    <row r="75" spans="1:19" s="7" customFormat="1" ht="15" hidden="1">
      <c r="A75" s="19">
        <v>6</v>
      </c>
      <c r="B75" s="30" t="s">
        <v>63</v>
      </c>
      <c r="C75" s="21">
        <f t="shared" si="25"/>
        <v>0</v>
      </c>
      <c r="D75" s="78" t="str">
        <f>IF('Introducción de datos'!D21="x","Reconocida","Pendiente")</f>
        <v>Pendiente</v>
      </c>
      <c r="E75" s="337">
        <f>IF(D75="Reconocida",-1.5,0)</f>
        <v>0</v>
      </c>
      <c r="F75" s="14">
        <v>4.5</v>
      </c>
      <c r="G75" s="38" t="s">
        <v>186</v>
      </c>
      <c r="H75" s="16">
        <f t="shared" si="26"/>
        <v>0</v>
      </c>
      <c r="I75" s="72" t="str">
        <f>IF('Introducción de datos'!I26="x","Reconocida","Pendiente")</f>
        <v>Pendiente</v>
      </c>
      <c r="K75" s="19">
        <v>6</v>
      </c>
      <c r="L75" s="51" t="s">
        <v>193</v>
      </c>
      <c r="M75" s="21">
        <f t="shared" si="27"/>
        <v>0</v>
      </c>
      <c r="N75" s="78" t="str">
        <f>IF('Introducción de datos'!N22="x","Reconocida","Pendiente")</f>
        <v>Pendiente</v>
      </c>
      <c r="P75" s="14">
        <v>6</v>
      </c>
      <c r="Q75" s="58" t="s">
        <v>202</v>
      </c>
      <c r="R75" s="16">
        <f t="shared" si="28"/>
        <v>0</v>
      </c>
      <c r="S75" s="72" t="str">
        <f>IF('Introducción de datos'!S21="x","Reconocida","Pendiente")</f>
        <v>Pendiente</v>
      </c>
    </row>
    <row r="76" spans="1:19" s="7" customFormat="1" ht="15.75" hidden="1" thickBot="1">
      <c r="A76" s="14">
        <v>4.5</v>
      </c>
      <c r="B76" s="28" t="s">
        <v>177</v>
      </c>
      <c r="C76" s="16">
        <f t="shared" si="25"/>
        <v>0</v>
      </c>
      <c r="D76" s="72" t="str">
        <f>IF('Introducción de datos'!D28="x","Reconocida","Pendiente")</f>
        <v>Pendiente</v>
      </c>
      <c r="E76" s="26"/>
      <c r="F76" s="14">
        <v>6</v>
      </c>
      <c r="G76" s="38" t="s">
        <v>187</v>
      </c>
      <c r="H76" s="16">
        <f t="shared" si="26"/>
        <v>0</v>
      </c>
      <c r="I76" s="72" t="str">
        <f>IF('Introducción de datos'!I27="x","Reconocida","Pendiente")</f>
        <v>Pendiente</v>
      </c>
      <c r="K76" s="14">
        <v>6</v>
      </c>
      <c r="L76" s="49" t="s">
        <v>196</v>
      </c>
      <c r="M76" s="16">
        <f t="shared" si="27"/>
        <v>0</v>
      </c>
      <c r="N76" s="72" t="str">
        <f>IF('Introducción de datos'!N26="x","Reconocida","Pendiente")</f>
        <v>Pendiente</v>
      </c>
      <c r="P76" s="14">
        <v>4.5</v>
      </c>
      <c r="Q76" s="58" t="s">
        <v>208</v>
      </c>
      <c r="R76" s="16">
        <f t="shared" si="28"/>
        <v>0</v>
      </c>
      <c r="S76" s="72" t="str">
        <f>IF('Introducción de datos'!S27="x","Reconocida","Pendiente")</f>
        <v>Pendiente</v>
      </c>
    </row>
    <row r="77" spans="1:19" s="7" customFormat="1" ht="15" hidden="1">
      <c r="A77" s="14">
        <v>6</v>
      </c>
      <c r="B77" s="28" t="s">
        <v>178</v>
      </c>
      <c r="C77" s="16">
        <f t="shared" si="25"/>
        <v>0</v>
      </c>
      <c r="D77" s="78" t="str">
        <f>IF('Introducción de datos'!D29="x","Reconocida","Pendiente")</f>
        <v>Pendiente</v>
      </c>
      <c r="E77" s="337">
        <f>IF(D77="Reconocida",-1.5,0)</f>
        <v>0</v>
      </c>
      <c r="F77" s="14">
        <v>4.5</v>
      </c>
      <c r="G77" s="38" t="s">
        <v>188</v>
      </c>
      <c r="H77" s="16">
        <f t="shared" si="26"/>
        <v>0</v>
      </c>
      <c r="I77" s="72" t="str">
        <f>IF('Introducción de datos'!I28="x","Reconocida","Pendiente")</f>
        <v>Pendiente</v>
      </c>
      <c r="K77" s="14">
        <v>4.5</v>
      </c>
      <c r="L77" s="49" t="s">
        <v>197</v>
      </c>
      <c r="M77" s="16">
        <f t="shared" si="27"/>
        <v>0</v>
      </c>
      <c r="N77" s="72" t="str">
        <f>IF('Introducción de datos'!N28="x","Reconocida","Pendiente")</f>
        <v>Pendiente</v>
      </c>
      <c r="P77" s="14">
        <v>6</v>
      </c>
      <c r="Q77" s="58" t="s">
        <v>210</v>
      </c>
      <c r="R77" s="16">
        <f t="shared" si="28"/>
        <v>0</v>
      </c>
      <c r="S77" s="72" t="str">
        <f>IF('Introducción de datos'!S29="x","Reconocida","Pendiente")</f>
        <v>Pendiente</v>
      </c>
    </row>
    <row r="78" spans="1:19" s="7" customFormat="1" ht="15" hidden="1">
      <c r="A78" s="14">
        <v>4.5</v>
      </c>
      <c r="B78" s="28" t="s">
        <v>179</v>
      </c>
      <c r="C78" s="16">
        <f t="shared" si="25"/>
        <v>0</v>
      </c>
      <c r="D78" s="72" t="str">
        <f>IF('Introducción de datos'!D30="x","Reconocida","Pendiente")</f>
        <v>Pendiente</v>
      </c>
      <c r="E78" s="26"/>
      <c r="F78" s="14">
        <v>6</v>
      </c>
      <c r="G78" s="38" t="s">
        <v>86</v>
      </c>
      <c r="H78" s="16">
        <f t="shared" si="26"/>
        <v>0</v>
      </c>
      <c r="I78" s="72" t="str">
        <f>IF('Introducción de datos'!I29="x","Reconocida","Pendiente")</f>
        <v>Pendiente</v>
      </c>
      <c r="K78" s="14">
        <v>4.5</v>
      </c>
      <c r="L78" s="49" t="s">
        <v>201</v>
      </c>
      <c r="M78" s="16">
        <f t="shared" si="27"/>
        <v>0</v>
      </c>
      <c r="N78" s="72" t="str">
        <f>IF('Introducción de datos'!N29="x","Reconocida","Pendiente")</f>
        <v>Pendiente</v>
      </c>
      <c r="P78" s="14">
        <v>4.5</v>
      </c>
      <c r="Q78" s="58" t="s">
        <v>211</v>
      </c>
      <c r="R78" s="16">
        <f t="shared" si="28"/>
        <v>0</v>
      </c>
      <c r="S78" s="72" t="str">
        <f>IF('Introducción de datos'!S30="x","Reconocida","Pendiente")</f>
        <v>Pendiente</v>
      </c>
    </row>
    <row r="79" spans="1:19" s="7" customFormat="1" ht="15.75" hidden="1" thickBot="1">
      <c r="A79" s="14">
        <v>4.5</v>
      </c>
      <c r="B79" s="28" t="s">
        <v>181</v>
      </c>
      <c r="C79" s="16">
        <f t="shared" si="25"/>
        <v>0</v>
      </c>
      <c r="D79" s="72" t="str">
        <f>IF('Introducción de datos'!D32="x","Reconocida","Pendiente")</f>
        <v>Pendiente</v>
      </c>
      <c r="E79" s="26"/>
      <c r="F79" s="22">
        <v>4.5</v>
      </c>
      <c r="G79" s="39" t="s">
        <v>73</v>
      </c>
      <c r="H79" s="24">
        <f t="shared" si="26"/>
        <v>0</v>
      </c>
      <c r="I79" s="75" t="str">
        <f>IF('Introducción de datos'!I21="x","Reconocida","Pendiente")</f>
        <v>Pendiente</v>
      </c>
      <c r="K79" s="14">
        <v>4.5</v>
      </c>
      <c r="L79" s="49" t="s">
        <v>228</v>
      </c>
      <c r="M79" s="16">
        <f t="shared" si="27"/>
        <v>0</v>
      </c>
      <c r="N79" s="72" t="str">
        <f>IF('Introducción de datos'!N30="x","Reconocida","Pendiente")</f>
        <v>Pendiente</v>
      </c>
      <c r="P79" s="22">
        <v>4.5</v>
      </c>
      <c r="Q79" s="59" t="s">
        <v>212</v>
      </c>
      <c r="R79" s="24">
        <f t="shared" si="28"/>
        <v>0</v>
      </c>
      <c r="S79" s="75" t="str">
        <f>IF('Introducción de datos'!S31="x","Reconocida","Pendiente")</f>
        <v>Pendiente</v>
      </c>
    </row>
    <row r="80" spans="1:19" s="7" customFormat="1" ht="15.75" hidden="1" thickBot="1">
      <c r="A80" s="22">
        <v>4.5</v>
      </c>
      <c r="B80" s="29" t="s">
        <v>182</v>
      </c>
      <c r="C80" s="24">
        <f t="shared" si="25"/>
        <v>0</v>
      </c>
      <c r="D80" s="75" t="str">
        <f>IF('Introducción de datos'!D33="x","Reconocida","Pendiente")</f>
        <v>Pendiente</v>
      </c>
      <c r="E80" s="26"/>
      <c r="F80" s="25">
        <f>SUM(F71:F79)</f>
        <v>48</v>
      </c>
      <c r="G80" s="323" t="str">
        <f>IF(I80&gt;F80,"ERROR","")</f>
        <v/>
      </c>
      <c r="I80" s="63">
        <f>SUM(H71:H79)</f>
        <v>0</v>
      </c>
      <c r="K80" s="22">
        <v>4.5</v>
      </c>
      <c r="L80" s="50" t="s">
        <v>198</v>
      </c>
      <c r="M80" s="24">
        <f t="shared" si="27"/>
        <v>0</v>
      </c>
      <c r="N80" s="75" t="str">
        <f>IF('Introducción de datos'!N31="x","Reconocida","Pendiente")</f>
        <v>Pendiente</v>
      </c>
      <c r="P80" s="25">
        <f>SUM(P71:P79)</f>
        <v>48</v>
      </c>
      <c r="Q80" s="323" t="str">
        <f>IF(S80&gt;P80,"ERROR","")</f>
        <v/>
      </c>
      <c r="S80" s="63">
        <f>SUM(R71:R79)</f>
        <v>0</v>
      </c>
    </row>
    <row r="81" spans="1:19" s="7" customFormat="1" ht="15.75" hidden="1" thickBot="1">
      <c r="A81" s="25">
        <f>SUM(A71:A80)</f>
        <v>48</v>
      </c>
      <c r="B81" s="323" t="str">
        <f>IF(D81&gt;A81,"ERROR","")</f>
        <v/>
      </c>
      <c r="D81" s="63">
        <f>SUM(C71:C80)</f>
        <v>0</v>
      </c>
      <c r="E81" s="26"/>
      <c r="F81" s="26"/>
      <c r="G81" s="26"/>
      <c r="H81" s="26"/>
      <c r="I81" s="337"/>
      <c r="K81" s="25">
        <f>SUM(K71:K80)</f>
        <v>48</v>
      </c>
      <c r="L81" s="323" t="str">
        <f>IF(N81&gt;K81,"ERROR","")</f>
        <v/>
      </c>
      <c r="N81" s="63">
        <f>SUM(M71:M80)</f>
        <v>0</v>
      </c>
      <c r="S81" s="337"/>
    </row>
    <row r="82" spans="3:19" s="7" customFormat="1" ht="15" hidden="1">
      <c r="C82" s="258" t="s">
        <v>264</v>
      </c>
      <c r="D82" s="355" t="str">
        <f>IF(AND(D81&gt;0,SUM(I80,N81,S80,R60)&lt;=18),"SÍ","No")</f>
        <v>No</v>
      </c>
      <c r="H82" s="258" t="s">
        <v>264</v>
      </c>
      <c r="I82" s="355" t="str">
        <f>IF(AND(I80&gt;0,SUM(D81,N81,S80,R60)&lt;=18),"SÍ","No")</f>
        <v>No</v>
      </c>
      <c r="M82" s="258" t="s">
        <v>264</v>
      </c>
      <c r="N82" s="355" t="str">
        <f>IF(AND(N81&gt;0,SUM(D81,I80,S80,R60)&lt;=18),"SÍ","No")</f>
        <v>No</v>
      </c>
      <c r="R82" s="258" t="s">
        <v>264</v>
      </c>
      <c r="S82" s="355" t="str">
        <f>IF(AND(S80&gt;0,SUM(D81,I80,N81,R60)&lt;=18),"SÍ","No")</f>
        <v>No</v>
      </c>
    </row>
    <row r="83" spans="3:4" s="7" customFormat="1" ht="15" hidden="1">
      <c r="C83" s="259" t="s">
        <v>265</v>
      </c>
      <c r="D83" s="255">
        <f>IF(N65&gt;18,1,COUNTIF(D82:S82,"SÍ"))</f>
        <v>0</v>
      </c>
    </row>
    <row r="84" spans="3:19" s="7" customFormat="1" ht="15" hidden="1">
      <c r="C84" s="258" t="s">
        <v>293</v>
      </c>
      <c r="D84" s="32">
        <f>I80+J74+N81+S80</f>
        <v>0</v>
      </c>
      <c r="H84" s="258" t="s">
        <v>291</v>
      </c>
      <c r="I84" s="32">
        <f>D81+E77+E75+N81+S80</f>
        <v>0</v>
      </c>
      <c r="M84" s="258" t="s">
        <v>291</v>
      </c>
      <c r="N84" s="32">
        <f>D81+E77+E75+I80+J74+S80</f>
        <v>0</v>
      </c>
      <c r="R84" s="258" t="s">
        <v>291</v>
      </c>
      <c r="S84" s="32">
        <f>D81+E77+E75+I80+J74+N81</f>
        <v>0</v>
      </c>
    </row>
    <row r="85" s="7" customFormat="1" ht="15" hidden="1"/>
    <row r="86" s="7" customFormat="1" ht="15" hidden="1"/>
  </sheetData>
  <sheetProtection algorithmName="SHA-512" hashValue="1ra/xP9pDXjQUSgzGAmrTUXFr3XhvI7g1H1M4JI3HAhyyxsWnhmptoVBMqodUPnocJ8DSIf30mYsAVPWJLHijQ==" saltValue="JuvuyuCcWEn8hWf2Q1WMjg==" spinCount="100000" sheet="1" objects="1" scenarios="1"/>
  <mergeCells count="1">
    <mergeCell ref="K23:S25"/>
  </mergeCells>
  <conditionalFormatting sqref="S55:S59 I51:I62 E69:E80">
    <cfRule type="containsText" priority="20" dxfId="5" operator="containsText" text="Pendiente">
      <formula>NOT(ISERROR(SEARCH("Pendiente",E51)))</formula>
    </cfRule>
  </conditionalFormatting>
  <conditionalFormatting sqref="S51:S54 I71:I79 S71:S79 N71:N80 N51:N58 D51:E60 D71:D80">
    <cfRule type="containsText" priority="19" dxfId="5" operator="containsText" text="Pendiente">
      <formula>NOT(ISERROR(SEARCH("Pendiente",D51)))</formula>
    </cfRule>
  </conditionalFormatting>
  <conditionalFormatting sqref="S15:S19 I11:I22 E28:E39">
    <cfRule type="containsText" priority="15" dxfId="5" operator="containsText" text="Pendiente">
      <formula>NOT(ISERROR(SEARCH("Pendiente",E11)))</formula>
    </cfRule>
  </conditionalFormatting>
  <conditionalFormatting sqref="I30:I38 S30:S38 N30:N39 N11:N18 D11:E20 D30:D39 S11:S14">
    <cfRule type="containsText" priority="14" dxfId="5" operator="containsText" text="Pendiente">
      <formula>NOT(ISERROR(SEARCH("Pendiente",D11)))</formula>
    </cfRule>
  </conditionalFormatting>
  <conditionalFormatting sqref="N14 D34 D36 S11:S14">
    <cfRule type="containsText" priority="4" dxfId="4" operator="containsText" text="WARNING">
      <formula>NOT(ISERROR(SEARCH("WARNING",D11)))</formula>
    </cfRule>
  </conditionalFormatting>
  <conditionalFormatting sqref="D11:D20 I11:I22 N11:N18 I30:I38 N30:N39 S30:S38 D30:D39 S11:S14">
    <cfRule type="containsText" priority="3" dxfId="3" operator="containsText" text="n/a">
      <formula>NOT(ISERROR(SEARCH("n/a",D11)))</formula>
    </cfRule>
  </conditionalFormatting>
  <conditionalFormatting sqref="I47">
    <cfRule type="cellIs" priority="1" dxfId="0" operator="lessThan">
      <formula>0</formula>
    </cfRule>
  </conditionalFormatting>
  <conditionalFormatting sqref="S81">
    <cfRule type="expression" priority="17" dxfId="11">
      <formula>'Introducción de datos'!$P$16&gt;82.5</formula>
    </cfRule>
  </conditionalFormatting>
  <conditionalFormatting sqref="S40">
    <cfRule type="expression" priority="13" dxfId="11">
      <formula>'Introducción de datos'!$P$16&gt;82.5</formula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>
            <xm:f>'Introducción de datos'!$P$16&gt;82.5</xm:f>
            <x14:dxf>
              <font>
                <color theme="0"/>
              </font>
              <border/>
            </x14:dxf>
          </x14:cfRule>
          <xm:sqref>S81</xm:sqref>
        </x14:conditionalFormatting>
        <x14:conditionalFormatting xmlns:xm="http://schemas.microsoft.com/office/excel/2006/main">
          <x14:cfRule type="expression" priority="13">
            <xm:f>'Introducción de datos'!$P$16&gt;82.5</xm:f>
            <x14:dxf>
              <font>
                <color theme="0"/>
              </font>
            </x14:dxf>
          </x14:cfRule>
          <xm:sqref>S40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Alberto Beneit Mayordomo</dc:creator>
  <cp:keywords/>
  <dc:description/>
  <cp:lastModifiedBy>Pablo Alberto Beneit Mayordomo</cp:lastModifiedBy>
  <cp:lastPrinted>2018-04-04T11:07:51Z</cp:lastPrinted>
  <dcterms:created xsi:type="dcterms:W3CDTF">2017-11-30T10:08:38Z</dcterms:created>
  <dcterms:modified xsi:type="dcterms:W3CDTF">2018-04-30T11:22:52Z</dcterms:modified>
  <cp:category/>
  <cp:version/>
  <cp:contentType/>
  <cp:contentStatus/>
</cp:coreProperties>
</file>